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codeName="ThisWorkbook" defaultThemeVersion="124226"/>
  <mc:AlternateContent xmlns:mc="http://schemas.openxmlformats.org/markup-compatibility/2006">
    <mc:Choice Requires="x15">
      <x15ac:absPath xmlns:x15ac="http://schemas.microsoft.com/office/spreadsheetml/2010/11/ac" url="C:\Users\VNMR-59\Desktop\пппп\"/>
    </mc:Choice>
  </mc:AlternateContent>
  <xr:revisionPtr revIDLastSave="0" documentId="8_{543DA04F-B8F6-4428-887F-BB6ACFE59CDB}" xr6:coauthVersionLast="45" xr6:coauthVersionMax="45" xr10:uidLastSave="{00000000-0000-0000-0000-000000000000}"/>
  <bookViews>
    <workbookView xWindow="-120" yWindow="-120" windowWidth="20730" windowHeight="11160" tabRatio="597" xr2:uid="{00000000-000D-0000-FFFF-FFFF00000000}"/>
  </bookViews>
  <sheets>
    <sheet name="дод 3" sheetId="4" r:id="rId1"/>
  </sheets>
  <definedNames>
    <definedName name="_xlnm._FilterDatabase" localSheetId="0" hidden="1">'дод 3'!$E$1:$Q$190</definedName>
    <definedName name="_xlnm.Print_Titles" localSheetId="0">'дод 3'!$6:$10</definedName>
    <definedName name="_xlnm.Print_Area" localSheetId="0">'дод 3'!$A$1:$Q$189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48" i="4" l="1"/>
  <c r="Q148" i="4" s="1"/>
  <c r="L34" i="4"/>
  <c r="P34" i="4" s="1"/>
  <c r="K34" i="4" s="1"/>
  <c r="Q34" i="4" s="1"/>
  <c r="F153" i="4"/>
  <c r="F154" i="4"/>
  <c r="F155" i="4"/>
  <c r="F156" i="4"/>
  <c r="Q156" i="4" s="1"/>
  <c r="F157" i="4"/>
  <c r="F185" i="4"/>
  <c r="M158" i="4"/>
  <c r="M166" i="4"/>
  <c r="K166" i="4" s="1"/>
  <c r="P115" i="4"/>
  <c r="L115" i="4"/>
  <c r="L110" i="4" s="1"/>
  <c r="L109" i="4" s="1"/>
  <c r="P36" i="4"/>
  <c r="L36" i="4"/>
  <c r="P16" i="4"/>
  <c r="L16" i="4"/>
  <c r="P42" i="4"/>
  <c r="K42" i="4" s="1"/>
  <c r="L152" i="4"/>
  <c r="P152" i="4" s="1"/>
  <c r="K152" i="4" s="1"/>
  <c r="P30" i="4"/>
  <c r="L30" i="4"/>
  <c r="L141" i="4"/>
  <c r="P141" i="4" s="1"/>
  <c r="K141" i="4" s="1"/>
  <c r="P161" i="4"/>
  <c r="K161" i="4" s="1"/>
  <c r="Q161" i="4" s="1"/>
  <c r="L161" i="4"/>
  <c r="P128" i="4"/>
  <c r="K128" i="4" s="1"/>
  <c r="L128" i="4"/>
  <c r="P53" i="4"/>
  <c r="L53" i="4"/>
  <c r="P59" i="4"/>
  <c r="L59" i="4"/>
  <c r="L144" i="4"/>
  <c r="P144" i="4" s="1"/>
  <c r="K144" i="4" s="1"/>
  <c r="L106" i="4"/>
  <c r="K103" i="4"/>
  <c r="K104" i="4"/>
  <c r="K106" i="4"/>
  <c r="Q106" i="4" s="1"/>
  <c r="P15" i="4"/>
  <c r="L15" i="4"/>
  <c r="P35" i="4"/>
  <c r="K35" i="4" s="1"/>
  <c r="L35" i="4"/>
  <c r="L151" i="4"/>
  <c r="K139" i="4"/>
  <c r="Q139" i="4"/>
  <c r="K137" i="4"/>
  <c r="L118" i="4"/>
  <c r="P130" i="4"/>
  <c r="L130" i="4"/>
  <c r="L61" i="4"/>
  <c r="P61" i="4"/>
  <c r="L157" i="4"/>
  <c r="P157" i="4" s="1"/>
  <c r="K157" i="4" s="1"/>
  <c r="Q157" i="4" s="1"/>
  <c r="F167" i="4"/>
  <c r="Q167" i="4"/>
  <c r="P151" i="4"/>
  <c r="K167" i="4"/>
  <c r="H52" i="4"/>
  <c r="G52" i="4"/>
  <c r="H111" i="4"/>
  <c r="G111" i="4"/>
  <c r="G144" i="4"/>
  <c r="F144" i="4" s="1"/>
  <c r="G16" i="4"/>
  <c r="G36" i="4"/>
  <c r="G42" i="4"/>
  <c r="G13" i="4"/>
  <c r="G115" i="4"/>
  <c r="F115" i="4" s="1"/>
  <c r="G30" i="4"/>
  <c r="F30" i="4" s="1"/>
  <c r="G43" i="4"/>
  <c r="J143" i="4"/>
  <c r="J141" i="4"/>
  <c r="J132" i="4" s="1"/>
  <c r="J131" i="4" s="1"/>
  <c r="H51" i="4"/>
  <c r="G51" i="4"/>
  <c r="H55" i="4"/>
  <c r="G55" i="4"/>
  <c r="F55" i="4" s="1"/>
  <c r="Q55" i="4" s="1"/>
  <c r="F183" i="4"/>
  <c r="Q183" i="4" s="1"/>
  <c r="G15" i="4"/>
  <c r="F162" i="4"/>
  <c r="F46" i="4"/>
  <c r="G128" i="4"/>
  <c r="G59" i="4"/>
  <c r="G20" i="4"/>
  <c r="G53" i="4"/>
  <c r="F53" i="4" s="1"/>
  <c r="G58" i="4"/>
  <c r="F58" i="4" s="1"/>
  <c r="Q58" i="4" s="1"/>
  <c r="G49" i="4"/>
  <c r="G17" i="4"/>
  <c r="F17" i="4" s="1"/>
  <c r="Q17" i="4" s="1"/>
  <c r="G145" i="4"/>
  <c r="F145" i="4" s="1"/>
  <c r="G97" i="4"/>
  <c r="F97" i="4" s="1"/>
  <c r="G118" i="4"/>
  <c r="G113" i="4"/>
  <c r="G116" i="4"/>
  <c r="G123" i="4"/>
  <c r="G126" i="4"/>
  <c r="G125" i="4"/>
  <c r="G127" i="4"/>
  <c r="F127" i="4" s="1"/>
  <c r="H117" i="4"/>
  <c r="G117" i="4"/>
  <c r="H113" i="4"/>
  <c r="H116" i="4"/>
  <c r="H115" i="4"/>
  <c r="H114" i="4"/>
  <c r="G114" i="4"/>
  <c r="F114" i="4" s="1"/>
  <c r="Q114" i="4" s="1"/>
  <c r="H170" i="4"/>
  <c r="G170" i="4"/>
  <c r="H123" i="4"/>
  <c r="H49" i="4"/>
  <c r="H48" i="4" s="1"/>
  <c r="H47" i="4" s="1"/>
  <c r="H133" i="4"/>
  <c r="H132" i="4" s="1"/>
  <c r="H131" i="4" s="1"/>
  <c r="G133" i="4"/>
  <c r="F133" i="4" s="1"/>
  <c r="H69" i="4"/>
  <c r="G69" i="4"/>
  <c r="H178" i="4"/>
  <c r="H177" i="4" s="1"/>
  <c r="H176" i="4" s="1"/>
  <c r="G178" i="4"/>
  <c r="G22" i="4"/>
  <c r="F22" i="4" s="1"/>
  <c r="H58" i="4"/>
  <c r="F16" i="4"/>
  <c r="Q16" i="4" s="1"/>
  <c r="K16" i="4"/>
  <c r="F95" i="4"/>
  <c r="Q95" i="4" s="1"/>
  <c r="F87" i="4"/>
  <c r="Q87" i="4" s="1"/>
  <c r="D68" i="4"/>
  <c r="P17" i="4"/>
  <c r="L17" i="4"/>
  <c r="F34" i="4"/>
  <c r="L147" i="4"/>
  <c r="F13" i="4"/>
  <c r="P65" i="4"/>
  <c r="L65" i="4"/>
  <c r="L48" i="4" s="1"/>
  <c r="L47" i="4" s="1"/>
  <c r="F52" i="4"/>
  <c r="Q52" i="4" s="1"/>
  <c r="G18" i="4"/>
  <c r="F18" i="4" s="1"/>
  <c r="K30" i="4"/>
  <c r="H128" i="4"/>
  <c r="F126" i="4"/>
  <c r="F125" i="4"/>
  <c r="I170" i="4"/>
  <c r="I169" i="4"/>
  <c r="I168" i="4" s="1"/>
  <c r="I110" i="4"/>
  <c r="I109" i="4" s="1"/>
  <c r="J110" i="4"/>
  <c r="J109" i="4"/>
  <c r="M110" i="4"/>
  <c r="M109" i="4" s="1"/>
  <c r="N110" i="4"/>
  <c r="O110" i="4"/>
  <c r="O109" i="4" s="1"/>
  <c r="G31" i="4"/>
  <c r="F31" i="4" s="1"/>
  <c r="Q31" i="4" s="1"/>
  <c r="H12" i="4"/>
  <c r="H11" i="4" s="1"/>
  <c r="I12" i="4"/>
  <c r="I11" i="4" s="1"/>
  <c r="J12" i="4"/>
  <c r="J11" i="4" s="1"/>
  <c r="M12" i="4"/>
  <c r="M11" i="4" s="1"/>
  <c r="N12" i="4"/>
  <c r="O12" i="4"/>
  <c r="O11" i="4"/>
  <c r="I177" i="4"/>
  <c r="I176" i="4" s="1"/>
  <c r="J177" i="4"/>
  <c r="J176" i="4"/>
  <c r="L177" i="4"/>
  <c r="L176" i="4" s="1"/>
  <c r="M177" i="4"/>
  <c r="M176" i="4" s="1"/>
  <c r="N177" i="4"/>
  <c r="N176" i="4" s="1"/>
  <c r="O177" i="4"/>
  <c r="O176" i="4" s="1"/>
  <c r="P177" i="4"/>
  <c r="P176" i="4"/>
  <c r="K178" i="4"/>
  <c r="K180" i="4"/>
  <c r="F180" i="4"/>
  <c r="G179" i="4"/>
  <c r="G177" i="4"/>
  <c r="G176" i="4" s="1"/>
  <c r="H169" i="4"/>
  <c r="H168" i="4" s="1"/>
  <c r="J169" i="4"/>
  <c r="J168" i="4" s="1"/>
  <c r="L169" i="4"/>
  <c r="L168" i="4" s="1"/>
  <c r="M169" i="4"/>
  <c r="M168" i="4"/>
  <c r="N169" i="4"/>
  <c r="N168" i="4"/>
  <c r="O169" i="4"/>
  <c r="K174" i="4"/>
  <c r="Q174" i="4" s="1"/>
  <c r="F174" i="4"/>
  <c r="G171" i="4"/>
  <c r="F171" i="4" s="1"/>
  <c r="K165" i="4"/>
  <c r="F165" i="4"/>
  <c r="F161" i="4"/>
  <c r="K159" i="4"/>
  <c r="F159" i="4"/>
  <c r="Q159" i="4" s="1"/>
  <c r="N132" i="4"/>
  <c r="N131" i="4" s="1"/>
  <c r="O132" i="4"/>
  <c r="O131" i="4"/>
  <c r="F141" i="4"/>
  <c r="Q141" i="4" s="1"/>
  <c r="F136" i="4"/>
  <c r="G134" i="4"/>
  <c r="I122" i="4"/>
  <c r="I121" i="4" s="1"/>
  <c r="J122" i="4"/>
  <c r="M122" i="4"/>
  <c r="M121" i="4" s="1"/>
  <c r="N122" i="4"/>
  <c r="N121" i="4" s="1"/>
  <c r="O122" i="4"/>
  <c r="O121" i="4" s="1"/>
  <c r="F119" i="4"/>
  <c r="K130" i="4"/>
  <c r="F130" i="4"/>
  <c r="Q130" i="4" s="1"/>
  <c r="G124" i="4"/>
  <c r="K33" i="4"/>
  <c r="K36" i="4"/>
  <c r="K37" i="4"/>
  <c r="K38" i="4"/>
  <c r="K39" i="4"/>
  <c r="K40" i="4"/>
  <c r="Q40" i="4" s="1"/>
  <c r="K41" i="4"/>
  <c r="K43" i="4"/>
  <c r="K44" i="4"/>
  <c r="K45" i="4"/>
  <c r="K14" i="4"/>
  <c r="K15" i="4"/>
  <c r="K17" i="4"/>
  <c r="K18" i="4"/>
  <c r="K19" i="4"/>
  <c r="K20" i="4"/>
  <c r="K21" i="4"/>
  <c r="K22" i="4"/>
  <c r="K23" i="4"/>
  <c r="K24" i="4"/>
  <c r="K25" i="4"/>
  <c r="K26" i="4"/>
  <c r="K27" i="4"/>
  <c r="K28" i="4"/>
  <c r="K29" i="4"/>
  <c r="K31" i="4"/>
  <c r="K32" i="4"/>
  <c r="K13" i="4"/>
  <c r="K64" i="4"/>
  <c r="K107" i="4"/>
  <c r="K120" i="4"/>
  <c r="F120" i="4"/>
  <c r="Q120" i="4" s="1"/>
  <c r="G112" i="4"/>
  <c r="F107" i="4"/>
  <c r="Q107" i="4" s="1"/>
  <c r="G70" i="4"/>
  <c r="F70" i="4" s="1"/>
  <c r="G79" i="4"/>
  <c r="F64" i="4"/>
  <c r="Q64" i="4"/>
  <c r="M48" i="4"/>
  <c r="N48" i="4"/>
  <c r="N47" i="4" s="1"/>
  <c r="O48" i="4"/>
  <c r="O47" i="4" s="1"/>
  <c r="I48" i="4"/>
  <c r="I47" i="4" s="1"/>
  <c r="G50" i="4"/>
  <c r="F43" i="4"/>
  <c r="Q43" i="4" s="1"/>
  <c r="G14" i="4"/>
  <c r="G25" i="4"/>
  <c r="F25" i="4"/>
  <c r="G29" i="4"/>
  <c r="F29" i="4" s="1"/>
  <c r="F36" i="4"/>
  <c r="F35" i="4"/>
  <c r="F33" i="4"/>
  <c r="Q33" i="4" s="1"/>
  <c r="F37" i="4"/>
  <c r="F38" i="4"/>
  <c r="Q38" i="4" s="1"/>
  <c r="F39" i="4"/>
  <c r="F40" i="4"/>
  <c r="F41" i="4"/>
  <c r="K51" i="4"/>
  <c r="K52" i="4"/>
  <c r="K54" i="4"/>
  <c r="K57" i="4"/>
  <c r="K58" i="4"/>
  <c r="K59" i="4"/>
  <c r="K60" i="4"/>
  <c r="Q60" i="4" s="1"/>
  <c r="K61" i="4"/>
  <c r="K62" i="4"/>
  <c r="K63" i="4"/>
  <c r="J48" i="4"/>
  <c r="J47" i="4" s="1"/>
  <c r="F15" i="4"/>
  <c r="Q15" i="4" s="1"/>
  <c r="F19" i="4"/>
  <c r="Q19" i="4"/>
  <c r="F20" i="4"/>
  <c r="F21" i="4"/>
  <c r="F23" i="4"/>
  <c r="Q23" i="4" s="1"/>
  <c r="F24" i="4"/>
  <c r="F26" i="4"/>
  <c r="F27" i="4"/>
  <c r="Q27" i="4"/>
  <c r="F28" i="4"/>
  <c r="F32" i="4"/>
  <c r="Q32" i="4" s="1"/>
  <c r="F42" i="4"/>
  <c r="F44" i="4"/>
  <c r="Q44" i="4" s="1"/>
  <c r="F45" i="4"/>
  <c r="Q45" i="4" s="1"/>
  <c r="F118" i="4"/>
  <c r="F111" i="4"/>
  <c r="F112" i="4"/>
  <c r="F113" i="4"/>
  <c r="Q113" i="4" s="1"/>
  <c r="F116" i="4"/>
  <c r="F117" i="4"/>
  <c r="F134" i="4"/>
  <c r="F135" i="4"/>
  <c r="Q135" i="4" s="1"/>
  <c r="F137" i="4"/>
  <c r="F138" i="4"/>
  <c r="F140" i="4"/>
  <c r="F142" i="4"/>
  <c r="Q142" i="4" s="1"/>
  <c r="F143" i="4"/>
  <c r="F146" i="4"/>
  <c r="F147" i="4"/>
  <c r="F149" i="4"/>
  <c r="F150" i="4"/>
  <c r="F151" i="4"/>
  <c r="F152" i="4"/>
  <c r="Q152" i="4" s="1"/>
  <c r="Q154" i="4"/>
  <c r="F158" i="4"/>
  <c r="F160" i="4"/>
  <c r="F163" i="4"/>
  <c r="F164" i="4"/>
  <c r="F166" i="4"/>
  <c r="F123" i="4"/>
  <c r="F128" i="4"/>
  <c r="Q128" i="4" s="1"/>
  <c r="Q127" i="4"/>
  <c r="F124" i="4"/>
  <c r="Q124" i="4" s="1"/>
  <c r="F186" i="4"/>
  <c r="F184" i="4"/>
  <c r="F182" i="4"/>
  <c r="Q182" i="4" s="1"/>
  <c r="F181" i="4"/>
  <c r="Q181" i="4" s="1"/>
  <c r="J79" i="4"/>
  <c r="J68" i="4"/>
  <c r="J67" i="4" s="1"/>
  <c r="F170" i="4"/>
  <c r="F172" i="4"/>
  <c r="Q172" i="4"/>
  <c r="F173" i="4"/>
  <c r="F175" i="4"/>
  <c r="P123" i="4"/>
  <c r="P170" i="4"/>
  <c r="P153" i="4"/>
  <c r="K153" i="4" s="1"/>
  <c r="P158" i="4"/>
  <c r="F76" i="4"/>
  <c r="K76" i="4"/>
  <c r="F78" i="4"/>
  <c r="Q78" i="4" s="1"/>
  <c r="K78" i="4"/>
  <c r="F51" i="4"/>
  <c r="P129" i="4"/>
  <c r="K129" i="4" s="1"/>
  <c r="K140" i="4"/>
  <c r="Q140" i="4"/>
  <c r="K151" i="4"/>
  <c r="P118" i="4"/>
  <c r="K118" i="4"/>
  <c r="P175" i="4"/>
  <c r="K175" i="4" s="1"/>
  <c r="Q175" i="4" s="1"/>
  <c r="P173" i="4"/>
  <c r="K173" i="4"/>
  <c r="K171" i="4"/>
  <c r="K172" i="4"/>
  <c r="K70" i="4"/>
  <c r="F50" i="4"/>
  <c r="K50" i="4"/>
  <c r="K66" i="4"/>
  <c r="F66" i="4"/>
  <c r="P163" i="4"/>
  <c r="K163" i="4" s="1"/>
  <c r="K183" i="4"/>
  <c r="O168" i="4"/>
  <c r="D169" i="4"/>
  <c r="P105" i="4"/>
  <c r="K105" i="4" s="1"/>
  <c r="F105" i="4"/>
  <c r="F71" i="4"/>
  <c r="Q71" i="4" s="1"/>
  <c r="K71" i="4"/>
  <c r="K127" i="4"/>
  <c r="F59" i="4"/>
  <c r="Q59" i="4" s="1"/>
  <c r="P147" i="4"/>
  <c r="K147" i="4" s="1"/>
  <c r="Q147" i="4" s="1"/>
  <c r="P155" i="4"/>
  <c r="K155" i="4" s="1"/>
  <c r="P125" i="4"/>
  <c r="K125" i="4" s="1"/>
  <c r="P111" i="4"/>
  <c r="K145" i="4"/>
  <c r="F77" i="4"/>
  <c r="K77" i="4"/>
  <c r="F101" i="4"/>
  <c r="K101" i="4"/>
  <c r="K97" i="4"/>
  <c r="K115" i="4"/>
  <c r="Q115" i="4" s="1"/>
  <c r="F49" i="4"/>
  <c r="K49" i="4"/>
  <c r="Q49" i="4" s="1"/>
  <c r="F86" i="4"/>
  <c r="K86" i="4"/>
  <c r="F79" i="4"/>
  <c r="F72" i="4"/>
  <c r="Q72" i="4" s="1"/>
  <c r="K72" i="4"/>
  <c r="P150" i="4"/>
  <c r="K150" i="4" s="1"/>
  <c r="Q150" i="4" s="1"/>
  <c r="F62" i="4"/>
  <c r="Q62" i="4" s="1"/>
  <c r="P149" i="4"/>
  <c r="K149" i="4" s="1"/>
  <c r="P146" i="4"/>
  <c r="K146" i="4"/>
  <c r="Q146" i="4" s="1"/>
  <c r="P138" i="4"/>
  <c r="K138" i="4" s="1"/>
  <c r="P154" i="4"/>
  <c r="K154" i="4" s="1"/>
  <c r="G89" i="4"/>
  <c r="F89" i="4"/>
  <c r="Q89" i="4" s="1"/>
  <c r="K89" i="4"/>
  <c r="P156" i="4"/>
  <c r="K156" i="4" s="1"/>
  <c r="P143" i="4"/>
  <c r="K143" i="4" s="1"/>
  <c r="I132" i="4"/>
  <c r="I131" i="4" s="1"/>
  <c r="F63" i="4"/>
  <c r="Q63" i="4" s="1"/>
  <c r="K182" i="4"/>
  <c r="K108" i="4"/>
  <c r="F108" i="4"/>
  <c r="K135" i="4"/>
  <c r="K102" i="4"/>
  <c r="F102" i="4"/>
  <c r="Q102" i="4" s="1"/>
  <c r="M47" i="4"/>
  <c r="M79" i="4"/>
  <c r="N79" i="4"/>
  <c r="N68" i="4" s="1"/>
  <c r="N67" i="4" s="1"/>
  <c r="O79" i="4"/>
  <c r="O68" i="4" s="1"/>
  <c r="O67" i="4" s="1"/>
  <c r="P79" i="4"/>
  <c r="P68" i="4" s="1"/>
  <c r="P67" i="4" s="1"/>
  <c r="L79" i="4"/>
  <c r="L68" i="4" s="1"/>
  <c r="L67" i="4" s="1"/>
  <c r="H79" i="4"/>
  <c r="H68" i="4" s="1"/>
  <c r="H67" i="4" s="1"/>
  <c r="I79" i="4"/>
  <c r="I68" i="4" s="1"/>
  <c r="I67" i="4" s="1"/>
  <c r="F100" i="4"/>
  <c r="K100" i="4"/>
  <c r="P116" i="4"/>
  <c r="K116" i="4" s="1"/>
  <c r="F98" i="4"/>
  <c r="K98" i="4"/>
  <c r="Q98" i="4" s="1"/>
  <c r="F99" i="4"/>
  <c r="Q99" i="4" s="1"/>
  <c r="F94" i="4"/>
  <c r="J121" i="4"/>
  <c r="F65" i="4"/>
  <c r="K184" i="4"/>
  <c r="Q184" i="4"/>
  <c r="F96" i="4"/>
  <c r="F129" i="4"/>
  <c r="Q129" i="4" s="1"/>
  <c r="F104" i="4"/>
  <c r="K186" i="4"/>
  <c r="Q186" i="4"/>
  <c r="K179" i="4"/>
  <c r="D177" i="4"/>
  <c r="K164" i="4"/>
  <c r="Q164" i="4"/>
  <c r="K160" i="4"/>
  <c r="K142" i="4"/>
  <c r="K134" i="4"/>
  <c r="Q134" i="4" s="1"/>
  <c r="K133" i="4"/>
  <c r="Q133" i="4" s="1"/>
  <c r="D132" i="4"/>
  <c r="K126" i="4"/>
  <c r="Q126" i="4" s="1"/>
  <c r="K123" i="4"/>
  <c r="D122" i="4"/>
  <c r="K117" i="4"/>
  <c r="Q117" i="4" s="1"/>
  <c r="K113" i="4"/>
  <c r="K114" i="4"/>
  <c r="K112" i="4"/>
  <c r="N109" i="4"/>
  <c r="D110" i="4"/>
  <c r="K99" i="4"/>
  <c r="K96" i="4"/>
  <c r="K75" i="4"/>
  <c r="F75" i="4"/>
  <c r="K74" i="4"/>
  <c r="F74" i="4"/>
  <c r="K94" i="4"/>
  <c r="K93" i="4"/>
  <c r="F93" i="4"/>
  <c r="Q93" i="4" s="1"/>
  <c r="K92" i="4"/>
  <c r="F92" i="4"/>
  <c r="Q92" i="4" s="1"/>
  <c r="K91" i="4"/>
  <c r="F91" i="4"/>
  <c r="K90" i="4"/>
  <c r="F90" i="4"/>
  <c r="K85" i="4"/>
  <c r="Q85" i="4"/>
  <c r="F85" i="4"/>
  <c r="K84" i="4"/>
  <c r="F84" i="4"/>
  <c r="Q84" i="4"/>
  <c r="K83" i="4"/>
  <c r="F83" i="4"/>
  <c r="Q83" i="4" s="1"/>
  <c r="K82" i="4"/>
  <c r="K81" i="4"/>
  <c r="Q81" i="4" s="1"/>
  <c r="F81" i="4"/>
  <c r="K80" i="4"/>
  <c r="K69" i="4"/>
  <c r="K73" i="4"/>
  <c r="K88" i="4"/>
  <c r="F80" i="4"/>
  <c r="F88" i="4"/>
  <c r="F73" i="4"/>
  <c r="Q73" i="4" s="1"/>
  <c r="F61" i="4"/>
  <c r="F54" i="4"/>
  <c r="Q54" i="4" s="1"/>
  <c r="N11" i="4"/>
  <c r="F103" i="4"/>
  <c r="Q103" i="4" s="1"/>
  <c r="F57" i="4"/>
  <c r="F82" i="4"/>
  <c r="Q82" i="4" s="1"/>
  <c r="Q56" i="4"/>
  <c r="F69" i="4"/>
  <c r="Q69" i="4" s="1"/>
  <c r="P136" i="4"/>
  <c r="P119" i="4"/>
  <c r="K119" i="4" s="1"/>
  <c r="Q119" i="4" s="1"/>
  <c r="Q94" i="4"/>
  <c r="M68" i="4"/>
  <c r="M67" i="4" s="1"/>
  <c r="G110" i="4"/>
  <c r="G109" i="4" s="1"/>
  <c r="Q86" i="4"/>
  <c r="Q50" i="4"/>
  <c r="Q101" i="4"/>
  <c r="Q97" i="4"/>
  <c r="F178" i="4"/>
  <c r="Q178" i="4"/>
  <c r="F179" i="4"/>
  <c r="Q179" i="4" s="1"/>
  <c r="Q165" i="4"/>
  <c r="Q20" i="4"/>
  <c r="P122" i="4"/>
  <c r="P121" i="4" s="1"/>
  <c r="Q118" i="4"/>
  <c r="K65" i="4"/>
  <c r="Q123" i="4"/>
  <c r="Q145" i="4"/>
  <c r="Q41" i="4"/>
  <c r="G132" i="4"/>
  <c r="G131" i="4" s="1"/>
  <c r="Q13" i="4"/>
  <c r="F169" i="4" l="1"/>
  <c r="F168" i="4" s="1"/>
  <c r="Q65" i="4"/>
  <c r="J187" i="4"/>
  <c r="F122" i="4"/>
  <c r="F121" i="4" s="1"/>
  <c r="K177" i="4"/>
  <c r="K176" i="4" s="1"/>
  <c r="P110" i="4"/>
  <c r="P109" i="4" s="1"/>
  <c r="Q36" i="4"/>
  <c r="Q91" i="4"/>
  <c r="Q75" i="4"/>
  <c r="Q100" i="4"/>
  <c r="Q163" i="4"/>
  <c r="Q173" i="4"/>
  <c r="Q160" i="4"/>
  <c r="Q151" i="4"/>
  <c r="Q37" i="4"/>
  <c r="Q29" i="4"/>
  <c r="L132" i="4"/>
  <c r="L131" i="4" s="1"/>
  <c r="G169" i="4"/>
  <c r="G168" i="4" s="1"/>
  <c r="G122" i="4"/>
  <c r="G121" i="4" s="1"/>
  <c r="Q30" i="4"/>
  <c r="H110" i="4"/>
  <c r="H109" i="4" s="1"/>
  <c r="L122" i="4"/>
  <c r="L121" i="4" s="1"/>
  <c r="K158" i="4"/>
  <c r="Q158" i="4" s="1"/>
  <c r="M132" i="4"/>
  <c r="M131" i="4" s="1"/>
  <c r="M187" i="4" s="1"/>
  <c r="Q171" i="4"/>
  <c r="Q112" i="4"/>
  <c r="G12" i="4"/>
  <c r="G11" i="4" s="1"/>
  <c r="P48" i="4"/>
  <c r="P47" i="4" s="1"/>
  <c r="K53" i="4"/>
  <c r="K79" i="4"/>
  <c r="Q79" i="4" s="1"/>
  <c r="Q108" i="4"/>
  <c r="Q51" i="4"/>
  <c r="Q166" i="4"/>
  <c r="Q137" i="4"/>
  <c r="Q116" i="4"/>
  <c r="Q26" i="4"/>
  <c r="Q53" i="4"/>
  <c r="L12" i="4"/>
  <c r="L11" i="4" s="1"/>
  <c r="K122" i="4"/>
  <c r="K121" i="4" s="1"/>
  <c r="Q121" i="4" s="1"/>
  <c r="Q66" i="4"/>
  <c r="Q76" i="4"/>
  <c r="P169" i="4"/>
  <c r="P168" i="4" s="1"/>
  <c r="Q42" i="4"/>
  <c r="Q25" i="4"/>
  <c r="G48" i="4"/>
  <c r="G47" i="4" s="1"/>
  <c r="Q28" i="4"/>
  <c r="Q24" i="4"/>
  <c r="Q18" i="4"/>
  <c r="Q144" i="4"/>
  <c r="K48" i="4"/>
  <c r="K47" i="4" s="1"/>
  <c r="P132" i="4"/>
  <c r="P131" i="4" s="1"/>
  <c r="Q57" i="4"/>
  <c r="Q61" i="4"/>
  <c r="Q88" i="4"/>
  <c r="Q90" i="4"/>
  <c r="Q74" i="4"/>
  <c r="Q96" i="4"/>
  <c r="Q104" i="4"/>
  <c r="Q143" i="4"/>
  <c r="Q149" i="4"/>
  <c r="Q77" i="4"/>
  <c r="Q138" i="4"/>
  <c r="Q21" i="4"/>
  <c r="Q39" i="4"/>
  <c r="Q35" i="4"/>
  <c r="Q70" i="4"/>
  <c r="Q180" i="4"/>
  <c r="Q22" i="4"/>
  <c r="H122" i="4"/>
  <c r="H121" i="4" s="1"/>
  <c r="P12" i="4"/>
  <c r="P11" i="4" s="1"/>
  <c r="K12" i="4"/>
  <c r="K11" i="4" s="1"/>
  <c r="F132" i="4"/>
  <c r="F131" i="4" s="1"/>
  <c r="L187" i="4"/>
  <c r="Q105" i="4"/>
  <c r="Q153" i="4"/>
  <c r="N187" i="4"/>
  <c r="H187" i="4"/>
  <c r="F48" i="4"/>
  <c r="O187" i="4"/>
  <c r="Q155" i="4"/>
  <c r="I187" i="4"/>
  <c r="Q125" i="4"/>
  <c r="K111" i="4"/>
  <c r="K170" i="4"/>
  <c r="G68" i="4"/>
  <c r="F177" i="4"/>
  <c r="Q80" i="4"/>
  <c r="F14" i="4"/>
  <c r="Q14" i="4" s="1"/>
  <c r="F110" i="4"/>
  <c r="K136" i="4"/>
  <c r="Q136" i="4" s="1"/>
  <c r="Q122" i="4" l="1"/>
  <c r="P187" i="4"/>
  <c r="K68" i="4"/>
  <c r="K67" i="4" s="1"/>
  <c r="K110" i="4"/>
  <c r="K109" i="4" s="1"/>
  <c r="Q111" i="4"/>
  <c r="Q170" i="4"/>
  <c r="K169" i="4"/>
  <c r="K132" i="4"/>
  <c r="F109" i="4"/>
  <c r="Q48" i="4"/>
  <c r="F47" i="4"/>
  <c r="Q47" i="4" s="1"/>
  <c r="F68" i="4"/>
  <c r="G67" i="4"/>
  <c r="G187" i="4" s="1"/>
  <c r="Q177" i="4"/>
  <c r="F176" i="4"/>
  <c r="Q176" i="4" s="1"/>
  <c r="F12" i="4"/>
  <c r="K168" i="4" l="1"/>
  <c r="Q168" i="4" s="1"/>
  <c r="Q169" i="4"/>
  <c r="K131" i="4"/>
  <c r="Q131" i="4" s="1"/>
  <c r="Q132" i="4"/>
  <c r="F11" i="4"/>
  <c r="Q12" i="4"/>
  <c r="F67" i="4"/>
  <c r="Q67" i="4" s="1"/>
  <c r="Q68" i="4"/>
  <c r="Q110" i="4"/>
  <c r="Q109" i="4" s="1"/>
  <c r="Q11" i="4" l="1"/>
  <c r="F187" i="4"/>
  <c r="Q187" i="4" s="1"/>
  <c r="K187" i="4"/>
</calcChain>
</file>

<file path=xl/sharedStrings.xml><?xml version="1.0" encoding="utf-8"?>
<sst xmlns="http://schemas.openxmlformats.org/spreadsheetml/2006/main" count="749" uniqueCount="518">
  <si>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</si>
  <si>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</si>
  <si>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</si>
  <si>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</si>
  <si>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</si>
  <si>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</si>
  <si>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</si>
  <si>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</si>
  <si>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</si>
  <si>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</si>
  <si>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</si>
  <si>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</si>
  <si>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</si>
  <si>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</si>
  <si>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</si>
  <si>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</si>
  <si>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</si>
  <si>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</si>
  <si>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</si>
  <si>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</si>
  <si>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</si>
  <si>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</si>
  <si>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</si>
  <si>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</si>
  <si>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</si>
  <si>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</si>
  <si>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</si>
  <si>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</si>
  <si>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</si>
  <si>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</si>
  <si>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</si>
  <si>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</si>
  <si>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</si>
  <si>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</si>
  <si>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</si>
  <si>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</si>
  <si>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</si>
  <si>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</si>
  <si>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</si>
  <si>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</si>
  <si>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</si>
  <si>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</si>
  <si>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</si>
  <si>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</si>
  <si>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</si>
  <si>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</si>
  <si>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</si>
  <si>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</si>
  <si>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</si>
  <si>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</si>
  <si>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</si>
  <si>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</si>
  <si>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</si>
  <si>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</si>
  <si>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</si>
  <si>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</si>
  <si>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</si>
  <si>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</si>
  <si>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</si>
  <si>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</si>
  <si>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</si>
  <si>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</si>
  <si>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</si>
  <si>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</si>
  <si>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</si>
  <si>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</si>
  <si>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</si>
  <si>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</si>
  <si>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</si>
  <si>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</si>
  <si>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</si>
  <si>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</si>
  <si>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</si>
  <si>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</si>
  <si>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</si>
  <si>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</si>
  <si>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</si>
  <si>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</si>
  <si>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</si>
  <si>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</si>
  <si>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</si>
  <si>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</si>
  <si>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</si>
  <si>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</si>
  <si>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</si>
  <si>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</si>
  <si>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</si>
  <si>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</si>
  <si>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</si>
  <si>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</si>
  <si>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</si>
  <si>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</si>
  <si>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</si>
  <si>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</si>
  <si>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</si>
  <si>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</si>
  <si>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</si>
  <si>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</si>
  <si>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</si>
  <si>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</si>
  <si>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</si>
  <si>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</si>
  <si>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</si>
  <si>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</si>
  <si>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</si>
  <si>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</si>
  <si>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</si>
  <si>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</si>
  <si>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</si>
  <si>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</si>
  <si>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</si>
  <si>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</si>
  <si>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</si>
  <si>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</si>
  <si>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</si>
  <si>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</si>
  <si>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</si>
  <si>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</si>
  <si>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</si>
  <si>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</si>
  <si>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</si>
  <si>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</si>
  <si>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</si>
  <si>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</si>
  <si>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</si>
  <si>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</si>
  <si>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</si>
  <si>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</si>
  <si>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</si>
  <si>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</si>
  <si>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</si>
  <si>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</si>
  <si>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</si>
  <si>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</si>
  <si>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</si>
  <si>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</si>
  <si>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</si>
  <si>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</si>
  <si>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</si>
  <si>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</si>
  <si>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</si>
  <si>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</si>
  <si>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</si>
  <si>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</si>
  <si>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</si>
  <si>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</si>
  <si>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</si>
  <si>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</si>
  <si>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</si>
  <si>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</si>
  <si>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</si>
  <si>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</si>
  <si>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</si>
  <si>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</si>
  <si>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</si>
  <si>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</si>
  <si>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</si>
  <si>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</si>
  <si>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</si>
  <si>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</si>
  <si>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</si>
  <si>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</si>
  <si>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</si>
  <si>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</si>
  <si>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</si>
  <si>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</si>
  <si>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</si>
  <si>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</si>
  <si>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</si>
  <si>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</si>
  <si>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</si>
  <si>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</si>
  <si>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</si>
  <si>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</si>
  <si>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</si>
  <si>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</si>
  <si>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</si>
  <si>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</si>
  <si>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</si>
  <si>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</si>
  <si>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</si>
  <si>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</si>
  <si>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</si>
  <si>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</si>
  <si>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</si>
  <si>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</si>
  <si>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</si>
  <si>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</si>
  <si>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</si>
  <si>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</si>
  <si>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</si>
  <si>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</si>
  <si>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</si>
  <si>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</si>
  <si>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</si>
  <si>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</si>
  <si>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</si>
  <si>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</si>
  <si>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</si>
  <si>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</si>
  <si>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</si>
  <si>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</si>
  <si>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</si>
  <si>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</si>
  <si>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</si>
  <si>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</si>
  <si>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</si>
  <si>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</si>
  <si>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</si>
  <si>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</si>
  <si>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</si>
  <si>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</si>
  <si>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</si>
  <si>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</si>
  <si>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</si>
  <si>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</si>
  <si>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</si>
  <si>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</si>
  <si>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</si>
  <si>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</si>
  <si>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</si>
  <si>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</si>
  <si>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</si>
  <si>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</si>
  <si>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</si>
  <si>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</si>
  <si>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</si>
  <si>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</si>
  <si>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</si>
  <si>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</si>
  <si>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</si>
  <si>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</si>
  <si>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</si>
  <si>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</si>
  <si>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</si>
  <si>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</si>
  <si>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</si>
  <si>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</si>
  <si>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</si>
  <si>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</si>
  <si>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</si>
  <si>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</si>
  <si>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</si>
  <si>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</si>
  <si>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</si>
  <si>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</si>
  <si>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</si>
  <si>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</si>
  <si>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</si>
  <si>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</si>
  <si>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</si>
  <si>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</si>
  <si>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</si>
  <si>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</si>
  <si>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</si>
  <si>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</si>
  <si>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</si>
  <si>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</si>
  <si>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</si>
  <si>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</si>
  <si>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</si>
  <si>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</si>
  <si>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</si>
  <si>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</si>
  <si>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</si>
  <si>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</si>
  <si>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</si>
  <si>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</si>
  <si>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</si>
  <si>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</si>
  <si>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</si>
  <si>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</si>
  <si>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</si>
  <si>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</si>
  <si>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</si>
  <si>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</si>
  <si>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</si>
  <si>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</si>
  <si>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</si>
  <si>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</si>
  <si>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</si>
  <si>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</si>
  <si>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</si>
  <si>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</si>
  <si>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</si>
  <si>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</si>
  <si>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</si>
  <si>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</si>
  <si>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</si>
  <si>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</si>
  <si>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</si>
  <si>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</si>
  <si>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</si>
  <si>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</si>
  <si>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</si>
  <si>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</si>
  <si>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</si>
  <si>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</si>
  <si>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</si>
  <si>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</si>
  <si>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</si>
  <si>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</si>
  <si>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</si>
  <si>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</si>
  <si>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</si>
  <si>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</si>
  <si>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</si>
  <si>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</si>
  <si>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</si>
  <si>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</si>
  <si>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</si>
  <si>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</si>
  <si>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</si>
  <si>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</si>
  <si>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</si>
  <si>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</si>
  <si>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</si>
  <si>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</si>
  <si>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</si>
  <si>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</si>
  <si>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</si>
  <si>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</si>
  <si>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</si>
  <si>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</si>
  <si>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</si>
  <si>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</si>
  <si>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</si>
  <si>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</si>
  <si>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</si>
  <si>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</si>
  <si>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</si>
  <si>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</si>
  <si>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</si>
  <si>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</si>
  <si>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</si>
  <si>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</si>
  <si>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</si>
  <si>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</si>
  <si>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</si>
  <si>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</si>
  <si>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</si>
  <si>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</si>
  <si>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</si>
  <si>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</si>
  <si>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</si>
  <si>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</si>
  <si>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</si>
  <si>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</si>
  <si>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</si>
  <si>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</si>
  <si>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</si>
  <si>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</si>
  <si>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</si>
  <si>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</si>
  <si>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</si>
  <si>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</si>
  <si>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</si>
  <si>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</si>
  <si>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</si>
  <si>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</si>
  <si>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</si>
  <si>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</si>
  <si>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</si>
  <si>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</si>
  <si>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</si>
  <si>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</si>
  <si>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</si>
  <si>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</si>
  <si>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</si>
  <si>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</si>
  <si>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</si>
  <si>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</si>
  <si>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</si>
  <si>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</si>
  <si>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</si>
  <si>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</si>
  <si>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</si>
  <si>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</si>
  <si>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</si>
  <si>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</si>
  <si>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</si>
  <si>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</si>
  <si>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</si>
  <si>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</si>
  <si>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</si>
  <si>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</si>
  <si>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</si>
  <si>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</si>
  <si>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</si>
  <si>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</si>
  <si>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</si>
  <si>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</si>
  <si>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</si>
  <si>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</si>
  <si>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</si>
  <si>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</si>
  <si>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</si>
  <si>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</si>
  <si>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</si>
  <si>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</si>
  <si>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</si>
  <si>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</si>
  <si>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</si>
  <si>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</si>
  <si>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</si>
  <si>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</si>
  <si>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</si>
  <si>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</si>
  <si>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</si>
  <si>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</si>
  <si>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</si>
  <si>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</si>
  <si>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</si>
  <si>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</si>
  <si>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</si>
  <si>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</si>
  <si>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</si>
  <si>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</si>
  <si>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</si>
  <si>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</si>
  <si>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</si>
  <si>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</si>
  <si>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</si>
  <si>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</si>
  <si>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</si>
  <si>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</si>
  <si>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</si>
  <si>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</si>
  <si>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</si>
  <si>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</si>
  <si>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</si>
  <si>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</si>
  <si>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</si>
  <si>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</si>
  <si>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</si>
  <si>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</si>
  <si>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</si>
  <si>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</si>
  <si>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</si>
  <si>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</si>
  <si>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</si>
  <si>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</si>
  <si>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</si>
  <si>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</si>
  <si>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</si>
  <si>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</si>
  <si>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</si>
  <si>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</si>
  <si>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</si>
  <si>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</si>
  <si>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</si>
  <si>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</si>
  <si>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</si>
  <si>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</si>
  <si>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</si>
  <si>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</si>
  <si>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</si>
  <si>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</si>
  <si>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</si>
  <si>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</si>
  <si>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</si>
  <si>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</si>
  <si>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</si>
  <si>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</si>
  <si>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</si>
  <si>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</si>
  <si>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</si>
  <si>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</si>
  <si>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</si>
  <si>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</si>
  <si>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</si>
  <si>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</si>
  <si>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</si>
  <si>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</si>
  <si>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</si>
  <si>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</si>
  <si>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</si>
  <si>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</si>
  <si>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</si>
  <si>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</si>
  <si>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</si>
  <si>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</si>
  <si>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</si>
  <si>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</si>
  <si>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</si>
  <si>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</si>
  <si>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</si>
  <si>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</si>
  <si>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</si>
  <si>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</si>
  <si>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</si>
  <si>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</si>
  <si>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</si>
  <si>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</si>
  <si>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</si>
  <si>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</si>
  <si>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</si>
  <si>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</si>
  <si>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</si>
  <si>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</si>
  <si>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</si>
  <si>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</si>
  <si>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</si>
  <si>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Міський голова                                                                                                                                       А.В.Лінник</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</si>
  <si>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</si>
  <si>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</si>
  <si>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</si>
  <si>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</si>
  <si>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</si>
  <si>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</si>
  <si>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</si>
  <si>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</si>
  <si>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</si>
  <si>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</si>
  <si>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</si>
  <si>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</si>
  <si>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</si>
  <si>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від  26 лютого 2020 р № 18-68/2020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</si>
</sst>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x14ac:knownFonts="1">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164"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6"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6"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164"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164"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164"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6"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6" fontId="6" fillId="3" borderId="1" xfId="0" applyNumberFormat="1" applyFont="1" applyFill="1" applyBorder="1" applyAlignment="1" applyProtection="1">
      <alignment horizontal="left" vertical="center" wrapText="1"/>
      <protection locked="0"/>
    </xf>
    <xf numFmtId="166"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90"/>
  <sheetViews>
    <sheetView tabSelected="1" view="pageBreakPreview" zoomScale="60" zoomScaleNormal="60" workbookViewId="0">
      <pane xSplit="5" ySplit="10" topLeftCell="N11" activePane="bottomRight" state="frozen"/>
      <selection pane="topRight" activeCell="F1" sqref="F1"/>
      <selection pane="bottomLeft" activeCell="A11" sqref="A11"/>
      <selection pane="bottomRight" activeCell="N3" sqref="N3:Q3"/>
    </sheetView>
  </sheetViews>
  <sheetFormatPr defaultColWidth="9.140625" defaultRowHeight="24.75" customHeight="1" x14ac:dyDescent="0.2"/>
  <cols>
    <col min="1" max="1" width="16.5703125" style="33" customWidth="1"/>
    <col min="2" max="2" width="16.85546875" style="33" customWidth="1"/>
    <col min="3" max="3" width="10.28515625" style="33" customWidth="1"/>
    <col min="4" max="4" width="48.28515625" style="1" customWidth="1"/>
    <col min="5" max="5" width="6.85546875" style="21" hidden="1" customWidth="1"/>
    <col min="6" max="6" width="22.7109375" style="57" customWidth="1"/>
    <col min="7" max="7" width="20.85546875" style="57" customWidth="1"/>
    <col min="8" max="8" width="21.28515625" style="57" customWidth="1"/>
    <col min="9" max="9" width="20.42578125" style="57" customWidth="1"/>
    <col min="10" max="10" width="22.42578125" style="57" customWidth="1"/>
    <col min="11" max="11" width="21.5703125" style="57" customWidth="1"/>
    <col min="12" max="12" width="19.5703125" style="57" customWidth="1"/>
    <col min="13" max="13" width="20.5703125" style="57" customWidth="1"/>
    <col min="14" max="15" width="19" style="57" customWidth="1"/>
    <col min="16" max="16" width="19.5703125" style="57" customWidth="1"/>
    <col min="17" max="17" width="26.28515625" style="57" customWidth="1"/>
    <col min="18" max="18" width="28.42578125" style="33" customWidth="1"/>
    <col min="19" max="19" width="17.42578125" style="33" customWidth="1"/>
    <col min="20" max="20" width="23.7109375" style="34" customWidth="1"/>
    <col min="21" max="16384" width="9.140625" style="33"/>
  </cols>
  <sheetData>
    <row r="1" spans="1:20" s="8" customFormat="1" ht="30" customHeight="1" x14ac:dyDescent="0.2">
      <c r="D1" s="2"/>
      <c r="F1" s="43"/>
      <c r="G1" s="44"/>
      <c r="H1" s="43"/>
      <c r="I1" s="43"/>
      <c r="J1" s="43"/>
      <c r="K1" s="43"/>
      <c r="L1" s="43"/>
      <c r="M1" s="43"/>
      <c r="N1" s="132" t="s">
        <v>496</v>
      </c>
      <c r="O1" s="132"/>
      <c r="P1" s="132"/>
      <c r="Q1" s="132"/>
      <c r="T1" s="22"/>
    </row>
    <row r="2" spans="1:20" s="8" customFormat="1" ht="24.6" customHeight="1" x14ac:dyDescent="0.2">
      <c r="A2" s="132" t="s">
        <v>323</v>
      </c>
      <c r="B2" s="132"/>
      <c r="C2" s="132"/>
      <c r="D2" s="132"/>
      <c r="E2" s="132"/>
      <c r="F2" s="132"/>
      <c r="G2" s="132"/>
      <c r="H2" s="132"/>
      <c r="I2" s="132"/>
      <c r="J2" s="132"/>
      <c r="K2" s="132"/>
      <c r="L2" s="132"/>
      <c r="M2" s="132"/>
      <c r="N2" s="133" t="s">
        <v>356</v>
      </c>
      <c r="O2" s="133"/>
      <c r="P2" s="133"/>
      <c r="Q2" s="133"/>
      <c r="T2" s="22"/>
    </row>
    <row r="3" spans="1:20" s="8" customFormat="1" ht="27" customHeight="1" x14ac:dyDescent="0.2">
      <c r="A3" s="132" t="s">
        <v>492</v>
      </c>
      <c r="B3" s="132"/>
      <c r="C3" s="132"/>
      <c r="D3" s="132"/>
      <c r="E3" s="132"/>
      <c r="F3" s="132"/>
      <c r="G3" s="132"/>
      <c r="H3" s="132"/>
      <c r="I3" s="132"/>
      <c r="J3" s="132"/>
      <c r="K3" s="132"/>
      <c r="L3" s="132"/>
      <c r="M3" s="132"/>
      <c r="N3" s="134" t="s">
        <v>517</v>
      </c>
      <c r="O3" s="134"/>
      <c r="P3" s="134"/>
      <c r="Q3" s="134"/>
      <c r="T3" s="22"/>
    </row>
    <row r="4" spans="1:20" s="8" customFormat="1" ht="17.45" customHeight="1" x14ac:dyDescent="0.2">
      <c r="A4" s="135">
        <v>25538000000</v>
      </c>
      <c r="B4" s="135"/>
      <c r="C4" s="135"/>
      <c r="D4" s="2"/>
      <c r="E4" s="26"/>
      <c r="F4" s="45"/>
      <c r="G4" s="45"/>
      <c r="H4" s="45"/>
      <c r="I4" s="45"/>
      <c r="J4" s="45"/>
      <c r="K4" s="45"/>
      <c r="L4" s="45"/>
      <c r="M4" s="45"/>
      <c r="N4" s="131"/>
      <c r="O4" s="131"/>
      <c r="P4" s="131"/>
      <c r="Q4" s="131"/>
      <c r="T4" s="22"/>
    </row>
    <row r="5" spans="1:20" s="8" customFormat="1" ht="17.45" customHeight="1" x14ac:dyDescent="0.2">
      <c r="A5" s="137" t="s">
        <v>491</v>
      </c>
      <c r="B5" s="137"/>
      <c r="C5" s="137"/>
      <c r="D5" s="2"/>
      <c r="E5" s="14"/>
      <c r="F5" s="45"/>
      <c r="G5" s="45"/>
      <c r="H5" s="45"/>
      <c r="I5" s="45"/>
      <c r="J5" s="45"/>
      <c r="K5" s="45"/>
      <c r="L5" s="45"/>
      <c r="M5" s="45"/>
      <c r="N5" s="45"/>
      <c r="O5" s="45"/>
      <c r="P5" s="46"/>
      <c r="Q5" s="46"/>
      <c r="T5" s="22"/>
    </row>
    <row r="6" spans="1:20" s="58" customFormat="1" ht="21.6" customHeight="1" x14ac:dyDescent="0.2">
      <c r="A6" s="138" t="s">
        <v>357</v>
      </c>
      <c r="B6" s="140" t="s">
        <v>497</v>
      </c>
      <c r="C6" s="138" t="s">
        <v>293</v>
      </c>
      <c r="D6" s="144" t="s">
        <v>483</v>
      </c>
      <c r="E6" s="139" t="s">
        <v>59</v>
      </c>
      <c r="F6" s="136" t="s">
        <v>294</v>
      </c>
      <c r="G6" s="136"/>
      <c r="H6" s="136"/>
      <c r="I6" s="136"/>
      <c r="J6" s="64"/>
      <c r="K6" s="136" t="s">
        <v>295</v>
      </c>
      <c r="L6" s="147"/>
      <c r="M6" s="147"/>
      <c r="N6" s="147"/>
      <c r="O6" s="147"/>
      <c r="P6" s="147"/>
      <c r="Q6" s="136" t="s">
        <v>0</v>
      </c>
      <c r="T6" s="59"/>
    </row>
    <row r="7" spans="1:20" s="58" customFormat="1" ht="25.15" customHeight="1" x14ac:dyDescent="0.2">
      <c r="A7" s="138"/>
      <c r="B7" s="141"/>
      <c r="C7" s="138"/>
      <c r="D7" s="144"/>
      <c r="E7" s="139"/>
      <c r="F7" s="136" t="s">
        <v>206</v>
      </c>
      <c r="G7" s="136" t="s">
        <v>47</v>
      </c>
      <c r="H7" s="145" t="s">
        <v>26</v>
      </c>
      <c r="I7" s="145"/>
      <c r="J7" s="136" t="s">
        <v>48</v>
      </c>
      <c r="K7" s="136" t="s">
        <v>206</v>
      </c>
      <c r="L7" s="136" t="s">
        <v>296</v>
      </c>
      <c r="M7" s="136" t="s">
        <v>49</v>
      </c>
      <c r="N7" s="145" t="s">
        <v>26</v>
      </c>
      <c r="O7" s="145"/>
      <c r="P7" s="136" t="s">
        <v>50</v>
      </c>
      <c r="Q7" s="136"/>
      <c r="T7" s="59"/>
    </row>
    <row r="8" spans="1:20" s="58" customFormat="1" ht="16.5" customHeight="1" x14ac:dyDescent="0.2">
      <c r="A8" s="138"/>
      <c r="B8" s="141"/>
      <c r="C8" s="138"/>
      <c r="D8" s="144"/>
      <c r="E8" s="139"/>
      <c r="F8" s="136"/>
      <c r="G8" s="136"/>
      <c r="H8" s="136" t="s">
        <v>54</v>
      </c>
      <c r="I8" s="136" t="s">
        <v>21</v>
      </c>
      <c r="J8" s="136"/>
      <c r="K8" s="136"/>
      <c r="L8" s="146"/>
      <c r="M8" s="146"/>
      <c r="N8" s="136" t="s">
        <v>297</v>
      </c>
      <c r="O8" s="136" t="s">
        <v>21</v>
      </c>
      <c r="P8" s="146"/>
      <c r="Q8" s="136"/>
      <c r="T8" s="59"/>
    </row>
    <row r="9" spans="1:20" s="58" customFormat="1" ht="76.150000000000006" customHeight="1" x14ac:dyDescent="0.2">
      <c r="A9" s="138"/>
      <c r="B9" s="142"/>
      <c r="C9" s="138"/>
      <c r="D9" s="144"/>
      <c r="E9" s="139"/>
      <c r="F9" s="136"/>
      <c r="G9" s="136"/>
      <c r="H9" s="136"/>
      <c r="I9" s="136"/>
      <c r="J9" s="136"/>
      <c r="K9" s="136"/>
      <c r="L9" s="146"/>
      <c r="M9" s="146"/>
      <c r="N9" s="136"/>
      <c r="O9" s="136"/>
      <c r="P9" s="146"/>
      <c r="Q9" s="136"/>
      <c r="T9" s="59"/>
    </row>
    <row r="10" spans="1:20" s="19" customFormat="1" ht="16.899999999999999" customHeight="1" x14ac:dyDescent="0.2">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x14ac:dyDescent="0.2">
      <c r="A11" s="74" t="s">
        <v>118</v>
      </c>
      <c r="B11" s="74" t="s">
        <v>118</v>
      </c>
      <c r="C11" s="75"/>
      <c r="D11" s="76" t="s">
        <v>114</v>
      </c>
      <c r="E11" s="75" t="s">
        <v>1</v>
      </c>
      <c r="F11" s="77">
        <f>F12</f>
        <v>61264195.75</v>
      </c>
      <c r="G11" s="77">
        <f>G12</f>
        <v>60103595.75</v>
      </c>
      <c r="H11" s="78">
        <f t="shared" ref="H11:P11" si="0">H12</f>
        <v>20463300</v>
      </c>
      <c r="I11" s="78">
        <f t="shared" si="0"/>
        <v>692900</v>
      </c>
      <c r="J11" s="78">
        <f t="shared" si="0"/>
        <v>1160600</v>
      </c>
      <c r="K11" s="77">
        <f t="shared" si="0"/>
        <v>5598128</v>
      </c>
      <c r="L11" s="77">
        <f t="shared" si="0"/>
        <v>5512728</v>
      </c>
      <c r="M11" s="78">
        <f t="shared" si="0"/>
        <v>85400</v>
      </c>
      <c r="N11" s="78">
        <f t="shared" si="0"/>
        <v>0</v>
      </c>
      <c r="O11" s="78">
        <f t="shared" si="0"/>
        <v>0</v>
      </c>
      <c r="P11" s="78">
        <f t="shared" si="0"/>
        <v>5512728</v>
      </c>
      <c r="Q11" s="77">
        <f t="shared" ref="Q11:Q45" si="1">F11+K11</f>
        <v>66862323.75</v>
      </c>
      <c r="T11" s="24"/>
    </row>
    <row r="12" spans="1:20" s="23" customFormat="1" ht="43.15" customHeight="1" x14ac:dyDescent="0.2">
      <c r="A12" s="79" t="s">
        <v>119</v>
      </c>
      <c r="B12" s="79" t="s">
        <v>119</v>
      </c>
      <c r="C12" s="80"/>
      <c r="D12" s="81" t="s">
        <v>114</v>
      </c>
      <c r="E12" s="80"/>
      <c r="F12" s="82">
        <f>SUM(F13:F45)+F46</f>
        <v>61264195.75</v>
      </c>
      <c r="G12" s="82">
        <f>SUM(G13:G45)+G46</f>
        <v>60103595.75</v>
      </c>
      <c r="H12" s="82">
        <f t="shared" ref="H12:P12" si="2">SUM(H13:H45)</f>
        <v>20463300</v>
      </c>
      <c r="I12" s="82">
        <f t="shared" si="2"/>
        <v>692900</v>
      </c>
      <c r="J12" s="82">
        <f t="shared" si="2"/>
        <v>1160600</v>
      </c>
      <c r="K12" s="82">
        <f t="shared" si="2"/>
        <v>5598128</v>
      </c>
      <c r="L12" s="82">
        <f t="shared" si="2"/>
        <v>5512728</v>
      </c>
      <c r="M12" s="82">
        <f t="shared" si="2"/>
        <v>85400</v>
      </c>
      <c r="N12" s="82">
        <f t="shared" si="2"/>
        <v>0</v>
      </c>
      <c r="O12" s="82">
        <f t="shared" si="2"/>
        <v>0</v>
      </c>
      <c r="P12" s="82">
        <f t="shared" si="2"/>
        <v>5512728</v>
      </c>
      <c r="Q12" s="82">
        <f t="shared" si="1"/>
        <v>66862323.75</v>
      </c>
      <c r="R12" s="60"/>
      <c r="T12" s="24"/>
    </row>
    <row r="13" spans="1:20" s="25" customFormat="1" ht="56.45" customHeight="1" x14ac:dyDescent="0.2">
      <c r="A13" s="66" t="s">
        <v>120</v>
      </c>
      <c r="B13" s="66" t="s">
        <v>358</v>
      </c>
      <c r="C13" s="66" t="s">
        <v>61</v>
      </c>
      <c r="D13" s="117" t="s">
        <v>308</v>
      </c>
      <c r="E13" s="3" t="s">
        <v>2</v>
      </c>
      <c r="F13" s="4">
        <f t="shared" ref="F13:F71" si="3">G13+J13</f>
        <v>20249400</v>
      </c>
      <c r="G13" s="4">
        <f>19691100+550000+8300</f>
        <v>20249400</v>
      </c>
      <c r="H13" s="12">
        <v>18296000</v>
      </c>
      <c r="I13" s="12">
        <v>578600</v>
      </c>
      <c r="J13" s="12"/>
      <c r="K13" s="4">
        <f t="shared" ref="K13:K45" si="4">M13+P13</f>
        <v>216400</v>
      </c>
      <c r="L13" s="4">
        <v>131000</v>
      </c>
      <c r="M13" s="4">
        <v>85400</v>
      </c>
      <c r="N13" s="4"/>
      <c r="O13" s="12"/>
      <c r="P13" s="12">
        <v>131000</v>
      </c>
      <c r="Q13" s="4">
        <f t="shared" si="1"/>
        <v>20465800</v>
      </c>
      <c r="T13" s="22"/>
    </row>
    <row r="14" spans="1:20" s="25" customFormat="1" ht="44.45" customHeight="1" x14ac:dyDescent="0.2">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5" customHeight="1" x14ac:dyDescent="0.2">
      <c r="A15" s="66" t="s">
        <v>121</v>
      </c>
      <c r="B15" s="66" t="s">
        <v>359</v>
      </c>
      <c r="C15" s="67" t="s">
        <v>62</v>
      </c>
      <c r="D15" s="10" t="s">
        <v>88</v>
      </c>
      <c r="E15" s="10" t="s">
        <v>60</v>
      </c>
      <c r="F15" s="4">
        <f t="shared" si="3"/>
        <v>19629000</v>
      </c>
      <c r="G15" s="4">
        <f>19392700+195000+41300</f>
        <v>19629000</v>
      </c>
      <c r="H15" s="12"/>
      <c r="I15" s="12"/>
      <c r="J15" s="12"/>
      <c r="K15" s="4">
        <f t="shared" si="4"/>
        <v>1006550</v>
      </c>
      <c r="L15" s="4">
        <f>728000+269850+8700</f>
        <v>1006550</v>
      </c>
      <c r="M15" s="4"/>
      <c r="N15" s="4"/>
      <c r="O15" s="12"/>
      <c r="P15" s="47">
        <f>728000+269850+8700</f>
        <v>1006550</v>
      </c>
      <c r="Q15" s="4">
        <f t="shared" si="1"/>
        <v>20635550</v>
      </c>
      <c r="T15" s="24"/>
    </row>
    <row r="16" spans="1:20" s="23" customFormat="1" ht="55.5" customHeight="1" x14ac:dyDescent="0.2">
      <c r="A16" s="66" t="s">
        <v>126</v>
      </c>
      <c r="B16" s="66" t="s">
        <v>360</v>
      </c>
      <c r="C16" s="66" t="s">
        <v>63</v>
      </c>
      <c r="D16" s="118" t="s">
        <v>89</v>
      </c>
      <c r="E16" s="7" t="s">
        <v>55</v>
      </c>
      <c r="F16" s="4">
        <f>G16+J16</f>
        <v>7852100</v>
      </c>
      <c r="G16" s="4">
        <f>7637200+50000+100000+117400-52500</f>
        <v>7852100</v>
      </c>
      <c r="H16" s="12"/>
      <c r="I16" s="12"/>
      <c r="J16" s="12"/>
      <c r="K16" s="4">
        <f t="shared" si="4"/>
        <v>1479802</v>
      </c>
      <c r="L16" s="4">
        <f>1747202-150000-117400</f>
        <v>1479802</v>
      </c>
      <c r="M16" s="4"/>
      <c r="N16" s="4"/>
      <c r="O16" s="12"/>
      <c r="P16" s="12">
        <f>1747202-150000-117400</f>
        <v>1479802</v>
      </c>
      <c r="Q16" s="4">
        <f t="shared" si="1"/>
        <v>9331902</v>
      </c>
      <c r="T16" s="24"/>
    </row>
    <row r="17" spans="1:20" s="23" customFormat="1" ht="44.45" customHeight="1" x14ac:dyDescent="0.2">
      <c r="A17" s="66" t="s">
        <v>125</v>
      </c>
      <c r="B17" s="66" t="s">
        <v>361</v>
      </c>
      <c r="C17" s="66" t="s">
        <v>64</v>
      </c>
      <c r="D17" s="6" t="s">
        <v>109</v>
      </c>
      <c r="E17" s="7"/>
      <c r="F17" s="41">
        <f>G17+J17</f>
        <v>1800152.48</v>
      </c>
      <c r="G17" s="41">
        <f>1754500+0.48+45652</f>
        <v>1800152.48</v>
      </c>
      <c r="H17" s="12"/>
      <c r="I17" s="12"/>
      <c r="J17" s="12"/>
      <c r="K17" s="4">
        <f t="shared" si="4"/>
        <v>320600</v>
      </c>
      <c r="L17" s="4">
        <f>1220600-900000</f>
        <v>320600</v>
      </c>
      <c r="M17" s="4"/>
      <c r="N17" s="4"/>
      <c r="O17" s="12"/>
      <c r="P17" s="47">
        <f>1220600-900000</f>
        <v>320600</v>
      </c>
      <c r="Q17" s="41">
        <f t="shared" si="1"/>
        <v>2120752.48</v>
      </c>
      <c r="T17" s="24"/>
    </row>
    <row r="18" spans="1:20" s="23" customFormat="1" ht="56.25" customHeight="1" x14ac:dyDescent="0.2">
      <c r="A18" s="66" t="s">
        <v>219</v>
      </c>
      <c r="B18" s="66" t="s">
        <v>362</v>
      </c>
      <c r="C18" s="66" t="s">
        <v>220</v>
      </c>
      <c r="D18" s="6" t="s">
        <v>504</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x14ac:dyDescent="0.2">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x14ac:dyDescent="0.2">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x14ac:dyDescent="0.2">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x14ac:dyDescent="0.2">
      <c r="A22" s="66" t="s">
        <v>127</v>
      </c>
      <c r="B22" s="66" t="s">
        <v>366</v>
      </c>
      <c r="C22" s="66" t="s">
        <v>65</v>
      </c>
      <c r="D22" s="6" t="s">
        <v>221</v>
      </c>
      <c r="E22" s="7"/>
      <c r="F22" s="41">
        <f>G22+J22</f>
        <v>700028.27</v>
      </c>
      <c r="G22" s="41">
        <f>165600+534400+28.27</f>
        <v>700028.27</v>
      </c>
      <c r="H22" s="12"/>
      <c r="I22" s="12"/>
      <c r="J22" s="12"/>
      <c r="K22" s="4">
        <f t="shared" si="4"/>
        <v>0</v>
      </c>
      <c r="L22" s="4"/>
      <c r="M22" s="4"/>
      <c r="N22" s="4"/>
      <c r="O22" s="12"/>
      <c r="P22" s="12"/>
      <c r="Q22" s="41">
        <f t="shared" si="1"/>
        <v>700028.27</v>
      </c>
      <c r="T22" s="24"/>
    </row>
    <row r="23" spans="1:20" s="23" customFormat="1" ht="55.5" hidden="1" customHeight="1" x14ac:dyDescent="0.2">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x14ac:dyDescent="0.2">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 customHeight="1" x14ac:dyDescent="0.2">
      <c r="A25" s="66" t="s">
        <v>223</v>
      </c>
      <c r="B25" s="66" t="s">
        <v>369</v>
      </c>
      <c r="C25" s="66" t="s">
        <v>65</v>
      </c>
      <c r="D25" s="118" t="s">
        <v>299</v>
      </c>
      <c r="E25" s="7"/>
      <c r="F25" s="4">
        <f t="shared" si="3"/>
        <v>174000</v>
      </c>
      <c r="G25" s="4">
        <f>44000+130000</f>
        <v>174000</v>
      </c>
      <c r="H25" s="12"/>
      <c r="I25" s="12"/>
      <c r="J25" s="12"/>
      <c r="K25" s="4">
        <f t="shared" si="4"/>
        <v>0</v>
      </c>
      <c r="L25" s="4"/>
      <c r="M25" s="4"/>
      <c r="N25" s="4"/>
      <c r="O25" s="12"/>
      <c r="P25" s="12"/>
      <c r="Q25" s="4">
        <f t="shared" si="1"/>
        <v>174000</v>
      </c>
      <c r="T25" s="24"/>
    </row>
    <row r="26" spans="1:20" s="8" customFormat="1" ht="55.5" customHeight="1" x14ac:dyDescent="0.2">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x14ac:dyDescent="0.2">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x14ac:dyDescent="0.2">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x14ac:dyDescent="0.2">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x14ac:dyDescent="0.2">
      <c r="A30" s="66" t="s">
        <v>352</v>
      </c>
      <c r="B30" s="66" t="s">
        <v>373</v>
      </c>
      <c r="C30" s="66" t="s">
        <v>67</v>
      </c>
      <c r="D30" s="118" t="s">
        <v>353</v>
      </c>
      <c r="E30" s="7"/>
      <c r="F30" s="4">
        <f t="shared" si="3"/>
        <v>632050</v>
      </c>
      <c r="G30" s="4">
        <f>36000+517600+62100+10350+6000</f>
        <v>632050</v>
      </c>
      <c r="H30" s="12"/>
      <c r="I30" s="12"/>
      <c r="J30" s="12"/>
      <c r="K30" s="4">
        <f t="shared" si="4"/>
        <v>50480</v>
      </c>
      <c r="L30" s="4">
        <f>18980+37500-6000</f>
        <v>50480</v>
      </c>
      <c r="M30" s="4"/>
      <c r="N30" s="4"/>
      <c r="O30" s="12"/>
      <c r="P30" s="12">
        <f>18980+37500-6000</f>
        <v>50480</v>
      </c>
      <c r="Q30" s="4">
        <f t="shared" si="1"/>
        <v>682530</v>
      </c>
      <c r="T30" s="22"/>
    </row>
    <row r="31" spans="1:20" s="8" customFormat="1" ht="54.75" customHeight="1" x14ac:dyDescent="0.2">
      <c r="A31" s="66" t="s">
        <v>224</v>
      </c>
      <c r="B31" s="66" t="s">
        <v>374</v>
      </c>
      <c r="C31" s="66" t="s">
        <v>66</v>
      </c>
      <c r="D31" s="118" t="s">
        <v>225</v>
      </c>
      <c r="E31" s="7"/>
      <c r="F31" s="4">
        <f>G31+J31</f>
        <v>1892200</v>
      </c>
      <c r="G31" s="4">
        <f>1715000+68000+109200</f>
        <v>1892200</v>
      </c>
      <c r="H31" s="12"/>
      <c r="I31" s="12"/>
      <c r="J31" s="12"/>
      <c r="K31" s="4">
        <f t="shared" si="4"/>
        <v>0</v>
      </c>
      <c r="L31" s="4"/>
      <c r="M31" s="4"/>
      <c r="N31" s="4"/>
      <c r="O31" s="12"/>
      <c r="P31" s="12"/>
      <c r="Q31" s="4">
        <f t="shared" si="1"/>
        <v>1892200</v>
      </c>
      <c r="T31" s="22"/>
    </row>
    <row r="32" spans="1:20" s="8" customFormat="1" ht="38.25" customHeight="1" x14ac:dyDescent="0.2">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x14ac:dyDescent="0.2">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 customHeight="1" x14ac:dyDescent="0.2">
      <c r="A34" s="66" t="s">
        <v>488</v>
      </c>
      <c r="B34" s="66" t="s">
        <v>446</v>
      </c>
      <c r="C34" s="66" t="s">
        <v>83</v>
      </c>
      <c r="D34" s="119" t="s">
        <v>489</v>
      </c>
      <c r="E34" s="13"/>
      <c r="F34" s="4">
        <f t="shared" si="3"/>
        <v>0</v>
      </c>
      <c r="G34" s="48"/>
      <c r="H34" s="49"/>
      <c r="I34" s="49"/>
      <c r="J34" s="49"/>
      <c r="K34" s="4">
        <f>M34+P34</f>
        <v>1050000</v>
      </c>
      <c r="L34" s="48">
        <f>150000+900000+350000-350000</f>
        <v>1050000</v>
      </c>
      <c r="M34" s="48"/>
      <c r="N34" s="48"/>
      <c r="O34" s="49"/>
      <c r="P34" s="49">
        <f>L34</f>
        <v>1050000</v>
      </c>
      <c r="Q34" s="4">
        <f>F34+K34</f>
        <v>1050000</v>
      </c>
      <c r="T34" s="22"/>
    </row>
    <row r="35" spans="1:20" s="8" customFormat="1" ht="54.75" customHeight="1" x14ac:dyDescent="0.2">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15" customHeight="1" x14ac:dyDescent="0.2">
      <c r="A36" s="66" t="s">
        <v>464</v>
      </c>
      <c r="B36" s="66" t="s">
        <v>465</v>
      </c>
      <c r="C36" s="66" t="s">
        <v>466</v>
      </c>
      <c r="D36" s="119" t="s">
        <v>467</v>
      </c>
      <c r="E36" s="7"/>
      <c r="F36" s="4">
        <f>G36+J36</f>
        <v>1098589</v>
      </c>
      <c r="G36" s="4">
        <f>1041085-160600-8300+13304+52500</f>
        <v>937989</v>
      </c>
      <c r="H36" s="12"/>
      <c r="I36" s="12"/>
      <c r="J36" s="12">
        <v>160600</v>
      </c>
      <c r="K36" s="4">
        <f t="shared" si="4"/>
        <v>659296</v>
      </c>
      <c r="L36" s="4">
        <f>672600-13304</f>
        <v>659296</v>
      </c>
      <c r="M36" s="4"/>
      <c r="N36" s="4"/>
      <c r="O36" s="12"/>
      <c r="P36" s="12">
        <f>672600-13304</f>
        <v>659296</v>
      </c>
      <c r="Q36" s="4">
        <f t="shared" si="1"/>
        <v>1757885</v>
      </c>
      <c r="T36" s="22"/>
    </row>
    <row r="37" spans="1:20" s="8" customFormat="1" ht="62.45" hidden="1" customHeight="1" x14ac:dyDescent="0.2">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 customHeight="1" x14ac:dyDescent="0.2">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 customHeight="1" x14ac:dyDescent="0.2">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 customHeight="1" x14ac:dyDescent="0.2">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 customHeight="1" x14ac:dyDescent="0.2">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 customHeight="1" x14ac:dyDescent="0.2">
      <c r="A42" s="66" t="s">
        <v>132</v>
      </c>
      <c r="B42" s="66" t="s">
        <v>383</v>
      </c>
      <c r="C42" s="66" t="s">
        <v>71</v>
      </c>
      <c r="D42" s="119" t="s">
        <v>266</v>
      </c>
      <c r="E42" s="7"/>
      <c r="F42" s="48">
        <f t="shared" si="3"/>
        <v>95000</v>
      </c>
      <c r="G42" s="48">
        <f>130000+90000-125000</f>
        <v>95000</v>
      </c>
      <c r="H42" s="49"/>
      <c r="I42" s="49"/>
      <c r="J42" s="49"/>
      <c r="K42" s="4">
        <f t="shared" si="4"/>
        <v>125000</v>
      </c>
      <c r="L42" s="48">
        <v>125000</v>
      </c>
      <c r="M42" s="48"/>
      <c r="N42" s="48"/>
      <c r="O42" s="49"/>
      <c r="P42" s="49">
        <f>L42</f>
        <v>125000</v>
      </c>
      <c r="Q42" s="4">
        <f t="shared" si="1"/>
        <v>220000</v>
      </c>
      <c r="T42" s="22"/>
    </row>
    <row r="43" spans="1:20" s="8" customFormat="1" ht="34.15" customHeight="1" x14ac:dyDescent="0.2">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15" hidden="1" customHeight="1" x14ac:dyDescent="0.2">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50000000000003" hidden="1" customHeight="1" x14ac:dyDescent="0.2">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50000000000003" customHeight="1" x14ac:dyDescent="0.2">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5" customHeight="1" x14ac:dyDescent="0.2">
      <c r="A47" s="74" t="s">
        <v>142</v>
      </c>
      <c r="B47" s="74" t="s">
        <v>142</v>
      </c>
      <c r="C47" s="83"/>
      <c r="D47" s="84" t="s">
        <v>28</v>
      </c>
      <c r="E47" s="83" t="s">
        <v>28</v>
      </c>
      <c r="F47" s="77">
        <f>F48</f>
        <v>223597236.41</v>
      </c>
      <c r="G47" s="77">
        <f t="shared" ref="G47:P47" si="5">G48</f>
        <v>223597236.41</v>
      </c>
      <c r="H47" s="77">
        <f t="shared" si="5"/>
        <v>173646696.41</v>
      </c>
      <c r="I47" s="78">
        <f t="shared" si="5"/>
        <v>25825530</v>
      </c>
      <c r="J47" s="78">
        <f t="shared" si="5"/>
        <v>0</v>
      </c>
      <c r="K47" s="77">
        <f t="shared" si="5"/>
        <v>24375156.759999998</v>
      </c>
      <c r="L47" s="77">
        <f t="shared" si="5"/>
        <v>15594556.76</v>
      </c>
      <c r="M47" s="78">
        <f t="shared" si="5"/>
        <v>8780600</v>
      </c>
      <c r="N47" s="78">
        <f t="shared" si="5"/>
        <v>231800</v>
      </c>
      <c r="O47" s="78">
        <f t="shared" si="5"/>
        <v>296300</v>
      </c>
      <c r="P47" s="77">
        <f t="shared" si="5"/>
        <v>15594556.76</v>
      </c>
      <c r="Q47" s="77">
        <f t="shared" ref="Q47:Q73" si="6">F47+K47</f>
        <v>247972393.16999999</v>
      </c>
      <c r="T47" s="24"/>
    </row>
    <row r="48" spans="1:20" s="26" customFormat="1" ht="31.15" customHeight="1" x14ac:dyDescent="0.2">
      <c r="A48" s="79" t="s">
        <v>143</v>
      </c>
      <c r="B48" s="79" t="s">
        <v>143</v>
      </c>
      <c r="C48" s="85"/>
      <c r="D48" s="86" t="s">
        <v>180</v>
      </c>
      <c r="E48" s="85"/>
      <c r="F48" s="87">
        <f>G48</f>
        <v>223597236.41</v>
      </c>
      <c r="G48" s="87">
        <f>SUM(G49:G66)</f>
        <v>223597236.41</v>
      </c>
      <c r="H48" s="87">
        <f>SUM(H49:H66)</f>
        <v>173646696.41</v>
      </c>
      <c r="I48" s="87">
        <f>SUM(I49:I66)</f>
        <v>25825530</v>
      </c>
      <c r="J48" s="87">
        <f t="shared" ref="J48:P48" si="7">SUM(J49:J65)+J66</f>
        <v>0</v>
      </c>
      <c r="K48" s="87">
        <f t="shared" si="7"/>
        <v>24375156.759999998</v>
      </c>
      <c r="L48" s="87">
        <f t="shared" si="7"/>
        <v>15594556.76</v>
      </c>
      <c r="M48" s="87">
        <f t="shared" si="7"/>
        <v>8780600</v>
      </c>
      <c r="N48" s="87">
        <f t="shared" si="7"/>
        <v>231800</v>
      </c>
      <c r="O48" s="87">
        <f t="shared" si="7"/>
        <v>296300</v>
      </c>
      <c r="P48" s="87">
        <f t="shared" si="7"/>
        <v>15594556.76</v>
      </c>
      <c r="Q48" s="87">
        <f t="shared" si="6"/>
        <v>247972393.16999999</v>
      </c>
      <c r="T48" s="24"/>
    </row>
    <row r="49" spans="1:20" s="8" customFormat="1" ht="59.45" customHeight="1" x14ac:dyDescent="0.2">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x14ac:dyDescent="0.2">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x14ac:dyDescent="0.2">
      <c r="A51" s="66" t="s">
        <v>146</v>
      </c>
      <c r="B51" s="66" t="s">
        <v>81</v>
      </c>
      <c r="C51" s="66" t="s">
        <v>73</v>
      </c>
      <c r="D51" s="119" t="s">
        <v>147</v>
      </c>
      <c r="E51" s="7" t="s">
        <v>6</v>
      </c>
      <c r="F51" s="41">
        <f t="shared" si="3"/>
        <v>52375006.859999999</v>
      </c>
      <c r="G51" s="41">
        <f>54671800-3473160+1000000+113460+62906.86</f>
        <v>52375006.859999999</v>
      </c>
      <c r="H51" s="50">
        <f>40565000-3473160+1000000+62906.86</f>
        <v>38154746.859999999</v>
      </c>
      <c r="I51" s="12">
        <v>7750800</v>
      </c>
      <c r="J51" s="12"/>
      <c r="K51" s="4">
        <f t="shared" si="8"/>
        <v>5057000</v>
      </c>
      <c r="L51" s="4">
        <v>227000</v>
      </c>
      <c r="M51" s="12">
        <v>4830000</v>
      </c>
      <c r="N51" s="4"/>
      <c r="O51" s="12"/>
      <c r="P51" s="12">
        <v>227000</v>
      </c>
      <c r="Q51" s="4">
        <f t="shared" si="6"/>
        <v>57432006.859999999</v>
      </c>
      <c r="T51" s="22"/>
    </row>
    <row r="52" spans="1:20" s="8" customFormat="1" ht="80.25" customHeight="1" x14ac:dyDescent="0.2">
      <c r="A52" s="66" t="s">
        <v>148</v>
      </c>
      <c r="B52" s="66" t="s">
        <v>82</v>
      </c>
      <c r="C52" s="66" t="s">
        <v>74</v>
      </c>
      <c r="D52" s="119" t="s">
        <v>498</v>
      </c>
      <c r="E52" s="7" t="s">
        <v>40</v>
      </c>
      <c r="F52" s="41">
        <f t="shared" si="3"/>
        <v>147367060</v>
      </c>
      <c r="G52" s="41">
        <f>4500000+55000+133928070+3473160+399830+4376000+140000+85000+77000+183000+50000+100000</f>
        <v>147367060</v>
      </c>
      <c r="H52" s="51">
        <f>111752000+4376000</f>
        <v>116128000</v>
      </c>
      <c r="I52" s="12">
        <v>16675710</v>
      </c>
      <c r="J52" s="12"/>
      <c r="K52" s="4">
        <f t="shared" si="8"/>
        <v>4641600</v>
      </c>
      <c r="L52" s="41">
        <v>715500</v>
      </c>
      <c r="M52" s="12">
        <v>3926100</v>
      </c>
      <c r="N52" s="4">
        <v>231800</v>
      </c>
      <c r="O52" s="12">
        <v>296300</v>
      </c>
      <c r="P52" s="50">
        <v>715500</v>
      </c>
      <c r="Q52" s="4">
        <f>F52+K52</f>
        <v>152008660</v>
      </c>
      <c r="T52" s="22"/>
    </row>
    <row r="53" spans="1:20" s="8" customFormat="1" ht="51" customHeight="1" x14ac:dyDescent="0.2">
      <c r="A53" s="66" t="s">
        <v>149</v>
      </c>
      <c r="B53" s="66" t="s">
        <v>66</v>
      </c>
      <c r="C53" s="66" t="s">
        <v>75</v>
      </c>
      <c r="D53" s="118" t="s">
        <v>484</v>
      </c>
      <c r="E53" s="7" t="s">
        <v>7</v>
      </c>
      <c r="F53" s="41">
        <f t="shared" si="3"/>
        <v>7090160</v>
      </c>
      <c r="G53" s="41">
        <f>6896260+156800+13600+23500</f>
        <v>7090160</v>
      </c>
      <c r="H53" s="50">
        <v>6100000</v>
      </c>
      <c r="I53" s="12">
        <v>463620</v>
      </c>
      <c r="J53" s="12"/>
      <c r="K53" s="4">
        <f t="shared" si="8"/>
        <v>267700</v>
      </c>
      <c r="L53" s="4">
        <f>32000+18000+193200</f>
        <v>243200</v>
      </c>
      <c r="M53" s="12">
        <v>24500</v>
      </c>
      <c r="N53" s="4"/>
      <c r="O53" s="12"/>
      <c r="P53" s="12">
        <f>32000+18000+193200</f>
        <v>243200</v>
      </c>
      <c r="Q53" s="4">
        <f t="shared" si="6"/>
        <v>7357860</v>
      </c>
      <c r="T53" s="22"/>
    </row>
    <row r="54" spans="1:20" s="8" customFormat="1" ht="40.15" customHeight="1" x14ac:dyDescent="0.2">
      <c r="A54" s="66" t="s">
        <v>150</v>
      </c>
      <c r="B54" s="66" t="s">
        <v>387</v>
      </c>
      <c r="C54" s="66" t="s">
        <v>76</v>
      </c>
      <c r="D54" s="119" t="s">
        <v>486</v>
      </c>
      <c r="E54" s="7" t="s">
        <v>8</v>
      </c>
      <c r="F54" s="4">
        <f t="shared" si="3"/>
        <v>1274460</v>
      </c>
      <c r="G54" s="4">
        <v>1274460</v>
      </c>
      <c r="H54" s="12">
        <v>1159000</v>
      </c>
      <c r="I54" s="12">
        <v>90360</v>
      </c>
      <c r="J54" s="12"/>
      <c r="K54" s="4">
        <f t="shared" si="8"/>
        <v>0</v>
      </c>
      <c r="L54" s="4"/>
      <c r="M54" s="12"/>
      <c r="N54" s="4"/>
      <c r="O54" s="12"/>
      <c r="P54" s="12"/>
      <c r="Q54" s="4">
        <f t="shared" si="6"/>
        <v>1274460</v>
      </c>
      <c r="T54" s="22"/>
    </row>
    <row r="55" spans="1:20" s="8" customFormat="1" ht="34.9" customHeight="1" x14ac:dyDescent="0.2">
      <c r="A55" s="66" t="s">
        <v>226</v>
      </c>
      <c r="B55" s="66" t="s">
        <v>388</v>
      </c>
      <c r="C55" s="68" t="s">
        <v>76</v>
      </c>
      <c r="D55" s="7" t="s">
        <v>227</v>
      </c>
      <c r="E55" s="9"/>
      <c r="F55" s="48">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x14ac:dyDescent="0.2">
      <c r="B56" s="66" t="s">
        <v>386</v>
      </c>
      <c r="F56" s="43"/>
      <c r="G56" s="43"/>
      <c r="H56" s="43"/>
      <c r="I56" s="12"/>
      <c r="J56" s="12"/>
      <c r="K56" s="4"/>
      <c r="L56" s="4"/>
      <c r="M56" s="12"/>
      <c r="N56" s="4"/>
      <c r="O56" s="12"/>
      <c r="P56" s="12"/>
      <c r="Q56" s="4" t="e">
        <f>#REF!+K56</f>
        <v>#REF!</v>
      </c>
      <c r="T56" s="22"/>
    </row>
    <row r="57" spans="1:20" s="8" customFormat="1" ht="25.15" customHeight="1" x14ac:dyDescent="0.2">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x14ac:dyDescent="0.2">
      <c r="A58" s="66" t="s">
        <v>325</v>
      </c>
      <c r="B58" s="66" t="s">
        <v>390</v>
      </c>
      <c r="C58" s="69" t="s">
        <v>76</v>
      </c>
      <c r="D58" s="121" t="s">
        <v>326</v>
      </c>
      <c r="E58" s="5"/>
      <c r="F58" s="52">
        <f>G58+J58</f>
        <v>1744756.41</v>
      </c>
      <c r="G58" s="4">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x14ac:dyDescent="0.2">
      <c r="A59" s="66" t="s">
        <v>151</v>
      </c>
      <c r="B59" s="66" t="s">
        <v>391</v>
      </c>
      <c r="C59" s="69" t="s">
        <v>77</v>
      </c>
      <c r="D59" s="122" t="s">
        <v>93</v>
      </c>
      <c r="E59" s="5" t="s">
        <v>44</v>
      </c>
      <c r="F59" s="52">
        <f t="shared" si="3"/>
        <v>7759750</v>
      </c>
      <c r="G59" s="4">
        <f>6611000+650000+164550+250000+9200+75000</f>
        <v>7759750</v>
      </c>
      <c r="H59" s="12">
        <v>5490000</v>
      </c>
      <c r="I59" s="12">
        <v>531040</v>
      </c>
      <c r="J59" s="12"/>
      <c r="K59" s="4">
        <f t="shared" si="8"/>
        <v>321000</v>
      </c>
      <c r="L59" s="4">
        <f>90000+231000</f>
        <v>321000</v>
      </c>
      <c r="M59" s="12"/>
      <c r="N59" s="4"/>
      <c r="O59" s="12"/>
      <c r="P59" s="12">
        <f>90000+231000</f>
        <v>321000</v>
      </c>
      <c r="Q59" s="4">
        <f t="shared" si="6"/>
        <v>8080750</v>
      </c>
      <c r="T59" s="22"/>
    </row>
    <row r="60" spans="1:20" s="8" customFormat="1" ht="34.5" customHeight="1" x14ac:dyDescent="0.2">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x14ac:dyDescent="0.2">
      <c r="A61" s="66" t="s">
        <v>278</v>
      </c>
      <c r="B61" s="66" t="s">
        <v>392</v>
      </c>
      <c r="C61" s="69" t="s">
        <v>83</v>
      </c>
      <c r="D61" s="122" t="s">
        <v>279</v>
      </c>
      <c r="E61" s="5"/>
      <c r="F61" s="52">
        <f t="shared" si="3"/>
        <v>0</v>
      </c>
      <c r="G61" s="4"/>
      <c r="H61" s="12"/>
      <c r="I61" s="12"/>
      <c r="J61" s="12"/>
      <c r="K61" s="41">
        <f t="shared" si="8"/>
        <v>4739856.76</v>
      </c>
      <c r="L61" s="41">
        <f>1168223.41+2477819.35+350468+743346</f>
        <v>4739856.76</v>
      </c>
      <c r="M61" s="12"/>
      <c r="N61" s="4"/>
      <c r="O61" s="12"/>
      <c r="P61" s="50">
        <f>1168223.41+2477819.35+350468+743346</f>
        <v>4739856.76</v>
      </c>
      <c r="Q61" s="4">
        <f t="shared" si="6"/>
        <v>4739856.76</v>
      </c>
      <c r="T61" s="22"/>
    </row>
    <row r="62" spans="1:20" s="8" customFormat="1" ht="75.599999999999994" customHeight="1" x14ac:dyDescent="0.2">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x14ac:dyDescent="0.2">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x14ac:dyDescent="0.2">
      <c r="A64" s="66" t="s">
        <v>472</v>
      </c>
      <c r="B64" s="66" t="s">
        <v>465</v>
      </c>
      <c r="C64" s="66" t="s">
        <v>466</v>
      </c>
      <c r="D64" s="119" t="s">
        <v>467</v>
      </c>
      <c r="E64" s="13"/>
      <c r="F64" s="4">
        <f t="shared" si="3"/>
        <v>397000</v>
      </c>
      <c r="G64" s="48">
        <v>397000</v>
      </c>
      <c r="H64" s="49"/>
      <c r="I64" s="49"/>
      <c r="J64" s="49"/>
      <c r="K64" s="4">
        <f t="shared" si="8"/>
        <v>168000</v>
      </c>
      <c r="L64" s="48">
        <v>168000</v>
      </c>
      <c r="M64" s="48"/>
      <c r="N64" s="48"/>
      <c r="O64" s="49"/>
      <c r="P64" s="49">
        <v>168000</v>
      </c>
      <c r="Q64" s="4">
        <f>F64+K64</f>
        <v>565000</v>
      </c>
      <c r="T64" s="22"/>
    </row>
    <row r="65" spans="1:20" s="8" customFormat="1" ht="34.5" customHeight="1" x14ac:dyDescent="0.2">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x14ac:dyDescent="0.2">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x14ac:dyDescent="0.2">
      <c r="A67" s="74" t="s">
        <v>158</v>
      </c>
      <c r="B67" s="74" t="s">
        <v>158</v>
      </c>
      <c r="C67" s="88"/>
      <c r="D67" s="84" t="s">
        <v>490</v>
      </c>
      <c r="E67" s="83" t="s">
        <v>33</v>
      </c>
      <c r="F67" s="77">
        <f>F68</f>
        <v>25501350</v>
      </c>
      <c r="G67" s="77">
        <f t="shared" ref="G67:P67" si="9">G68</f>
        <v>25501350</v>
      </c>
      <c r="H67" s="78">
        <f t="shared" si="9"/>
        <v>20564590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25784650</v>
      </c>
      <c r="R67" s="60"/>
      <c r="T67" s="24"/>
    </row>
    <row r="68" spans="1:20" s="26" customFormat="1" ht="42" customHeight="1" x14ac:dyDescent="0.2">
      <c r="A68" s="79" t="s">
        <v>159</v>
      </c>
      <c r="B68" s="79" t="s">
        <v>159</v>
      </c>
      <c r="C68" s="89"/>
      <c r="D68" s="86" t="str">
        <f>D67</f>
        <v>Управління  соціального захисту населення  міської ради</v>
      </c>
      <c r="E68" s="85"/>
      <c r="F68" s="87">
        <f>G68+J68</f>
        <v>25501350</v>
      </c>
      <c r="G68" s="87">
        <f>G69+G70+G71+G72+G73+G74+G75+G76+G77+G78+G79+G88+G90+G91+G92+G93+G94+G96+G97+G98+G99+G100+G101+G103+G104+G102+G108+G95+G105+G107</f>
        <v>25501350</v>
      </c>
      <c r="H68" s="87">
        <f t="shared" ref="H68:O68" si="10">H69+H70+H71+H72+H73+H74+H75+H76+H77+H78+H79+H88+H90+H91+H92+H93+H94+H96+H97+H98+H99+H100+H101+H103+H104+H102+H108+H95+H105+H107</f>
        <v>20564590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25784650</v>
      </c>
      <c r="T68" s="24"/>
    </row>
    <row r="69" spans="1:20" s="8" customFormat="1" ht="61.15" customHeight="1" x14ac:dyDescent="0.2">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 customHeight="1" x14ac:dyDescent="0.2">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x14ac:dyDescent="0.2">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x14ac:dyDescent="0.2">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x14ac:dyDescent="0.2">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x14ac:dyDescent="0.2">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x14ac:dyDescent="0.2">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5" customHeight="1" x14ac:dyDescent="0.2">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5" customHeight="1" x14ac:dyDescent="0.2">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x14ac:dyDescent="0.2">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x14ac:dyDescent="0.2">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x14ac:dyDescent="0.2">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x14ac:dyDescent="0.2">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x14ac:dyDescent="0.2">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x14ac:dyDescent="0.2">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x14ac:dyDescent="0.2">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x14ac:dyDescent="0.2">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x14ac:dyDescent="0.2">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x14ac:dyDescent="0.2">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x14ac:dyDescent="0.2">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x14ac:dyDescent="0.2">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x14ac:dyDescent="0.2">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5" hidden="1" customHeight="1" x14ac:dyDescent="0.2">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x14ac:dyDescent="0.2">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x14ac:dyDescent="0.2">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x14ac:dyDescent="0.2">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x14ac:dyDescent="0.2">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15" customHeight="1" x14ac:dyDescent="0.2">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x14ac:dyDescent="0.2">
      <c r="A97" s="66" t="s">
        <v>178</v>
      </c>
      <c r="B97" s="66" t="s">
        <v>420</v>
      </c>
      <c r="C97" s="66" t="s">
        <v>82</v>
      </c>
      <c r="D97" s="119" t="s">
        <v>107</v>
      </c>
      <c r="E97" s="7" t="s">
        <v>57</v>
      </c>
      <c r="F97" s="4">
        <f t="shared" ref="F97:F103" si="20">G97+J97</f>
        <v>5812100</v>
      </c>
      <c r="G97" s="4">
        <f>5672500+54100+85500</f>
        <v>5812100</v>
      </c>
      <c r="H97" s="12">
        <v>5364000</v>
      </c>
      <c r="I97" s="12">
        <v>212600</v>
      </c>
      <c r="J97" s="12"/>
      <c r="K97" s="4">
        <f t="shared" ref="K97:K108" si="21">M97+P97</f>
        <v>145000</v>
      </c>
      <c r="L97" s="4"/>
      <c r="M97" s="12">
        <v>145000</v>
      </c>
      <c r="N97" s="4">
        <v>118000</v>
      </c>
      <c r="O97" s="12"/>
      <c r="P97" s="12"/>
      <c r="Q97" s="4">
        <f t="shared" ref="Q97:Q108" si="22">F97+K97</f>
        <v>5957100</v>
      </c>
      <c r="T97" s="22"/>
    </row>
    <row r="98" spans="1:20" s="8" customFormat="1" ht="36" customHeight="1" x14ac:dyDescent="0.2">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x14ac:dyDescent="0.2">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x14ac:dyDescent="0.2">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5" customHeight="1" x14ac:dyDescent="0.2">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x14ac:dyDescent="0.2">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15" hidden="1" customHeight="1" x14ac:dyDescent="0.2">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x14ac:dyDescent="0.2">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x14ac:dyDescent="0.2">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x14ac:dyDescent="0.2">
      <c r="A106" s="66" t="s">
        <v>512</v>
      </c>
      <c r="B106" s="66" t="s">
        <v>513</v>
      </c>
      <c r="C106" s="66" t="s">
        <v>83</v>
      </c>
      <c r="D106" s="118" t="s">
        <v>514</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5" customHeight="1" x14ac:dyDescent="0.2">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x14ac:dyDescent="0.2">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5" customHeight="1" x14ac:dyDescent="0.2">
      <c r="A109" s="74" t="s">
        <v>87</v>
      </c>
      <c r="B109" s="74" t="s">
        <v>87</v>
      </c>
      <c r="C109" s="88"/>
      <c r="D109" s="84" t="s">
        <v>35</v>
      </c>
      <c r="E109" s="83" t="s">
        <v>35</v>
      </c>
      <c r="F109" s="77">
        <f>F110</f>
        <v>26282289</v>
      </c>
      <c r="G109" s="77">
        <f t="shared" ref="G109:P109" si="23">G110</f>
        <v>26282289</v>
      </c>
      <c r="H109" s="78">
        <f t="shared" si="23"/>
        <v>20741650</v>
      </c>
      <c r="I109" s="78">
        <f t="shared" si="23"/>
        <v>1941100</v>
      </c>
      <c r="J109" s="78">
        <f t="shared" si="23"/>
        <v>0</v>
      </c>
      <c r="K109" s="77">
        <f t="shared" si="23"/>
        <v>1157500</v>
      </c>
      <c r="L109" s="78">
        <f t="shared" si="23"/>
        <v>516500</v>
      </c>
      <c r="M109" s="78">
        <f t="shared" si="23"/>
        <v>641000</v>
      </c>
      <c r="N109" s="78">
        <f t="shared" si="23"/>
        <v>169050</v>
      </c>
      <c r="O109" s="78">
        <f t="shared" si="23"/>
        <v>0</v>
      </c>
      <c r="P109" s="78">
        <f t="shared" si="23"/>
        <v>516500</v>
      </c>
      <c r="Q109" s="78">
        <f>Q110</f>
        <v>27439789</v>
      </c>
      <c r="R109" s="90"/>
      <c r="T109" s="92"/>
    </row>
    <row r="110" spans="1:20" s="91" customFormat="1" ht="43.9" customHeight="1" x14ac:dyDescent="0.2">
      <c r="A110" s="79" t="s">
        <v>144</v>
      </c>
      <c r="B110" s="79" t="s">
        <v>427</v>
      </c>
      <c r="C110" s="89"/>
      <c r="D110" s="86" t="str">
        <f>D109</f>
        <v>Управління культури і туризму міської ради</v>
      </c>
      <c r="E110" s="85"/>
      <c r="F110" s="87">
        <f>SUM(F111:F120)</f>
        <v>26282289</v>
      </c>
      <c r="G110" s="87">
        <f t="shared" ref="G110:P110" si="24">SUM(G111:G120)</f>
        <v>26282289</v>
      </c>
      <c r="H110" s="87">
        <f t="shared" si="24"/>
        <v>20741650</v>
      </c>
      <c r="I110" s="87">
        <f t="shared" si="24"/>
        <v>1941100</v>
      </c>
      <c r="J110" s="87">
        <f t="shared" si="24"/>
        <v>0</v>
      </c>
      <c r="K110" s="87">
        <f t="shared" si="24"/>
        <v>1157500</v>
      </c>
      <c r="L110" s="87">
        <f t="shared" si="24"/>
        <v>516500</v>
      </c>
      <c r="M110" s="87">
        <f t="shared" si="24"/>
        <v>641000</v>
      </c>
      <c r="N110" s="87">
        <f t="shared" si="24"/>
        <v>169050</v>
      </c>
      <c r="O110" s="87">
        <f t="shared" si="24"/>
        <v>0</v>
      </c>
      <c r="P110" s="87">
        <f t="shared" si="24"/>
        <v>516500</v>
      </c>
      <c r="Q110" s="82">
        <f t="shared" ref="Q110:Q131" si="25">F110+K110</f>
        <v>27439789</v>
      </c>
      <c r="T110" s="92"/>
    </row>
    <row r="111" spans="1:20" s="26" customFormat="1" ht="85.5" customHeight="1" x14ac:dyDescent="0.2">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x14ac:dyDescent="0.2">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 customHeight="1" x14ac:dyDescent="0.2">
      <c r="A113" s="66" t="s">
        <v>189</v>
      </c>
      <c r="B113" s="66" t="s">
        <v>428</v>
      </c>
      <c r="C113" s="66" t="s">
        <v>75</v>
      </c>
      <c r="D113" s="119" t="s">
        <v>485</v>
      </c>
      <c r="E113" s="7" t="s">
        <v>12</v>
      </c>
      <c r="F113" s="4">
        <f>G113+J113</f>
        <v>13014298</v>
      </c>
      <c r="G113" s="4">
        <f>12104950+865000+44348</f>
        <v>13014298</v>
      </c>
      <c r="H113" s="47">
        <f>11185050-26000+865000</f>
        <v>12024050</v>
      </c>
      <c r="I113" s="12">
        <v>902900</v>
      </c>
      <c r="J113" s="12"/>
      <c r="K113" s="4">
        <f>M113+P113</f>
        <v>616000</v>
      </c>
      <c r="L113" s="4">
        <v>106000</v>
      </c>
      <c r="M113" s="12">
        <v>510000</v>
      </c>
      <c r="N113" s="4">
        <v>144000</v>
      </c>
      <c r="O113" s="12"/>
      <c r="P113" s="12">
        <v>106000</v>
      </c>
      <c r="Q113" s="4">
        <f>F113+K113</f>
        <v>13630298</v>
      </c>
      <c r="T113" s="24"/>
    </row>
    <row r="114" spans="1:20" s="26" customFormat="1" ht="33" customHeight="1" x14ac:dyDescent="0.2">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x14ac:dyDescent="0.2">
      <c r="A115" s="66" t="s">
        <v>185</v>
      </c>
      <c r="B115" s="66" t="s">
        <v>430</v>
      </c>
      <c r="C115" s="66" t="s">
        <v>108</v>
      </c>
      <c r="D115" s="119" t="s">
        <v>186</v>
      </c>
      <c r="E115" s="7" t="s">
        <v>10</v>
      </c>
      <c r="F115" s="4">
        <f t="shared" si="26"/>
        <v>3910441</v>
      </c>
      <c r="G115" s="4">
        <f>2784200+160000+14100+15000+24141+913000</f>
        <v>3910441</v>
      </c>
      <c r="H115" s="12">
        <f>1966800+160000</f>
        <v>2126800</v>
      </c>
      <c r="I115" s="12">
        <v>263000</v>
      </c>
      <c r="J115" s="12"/>
      <c r="K115" s="4">
        <f t="shared" si="27"/>
        <v>122000</v>
      </c>
      <c r="L115" s="4">
        <f>15000+37000</f>
        <v>52000</v>
      </c>
      <c r="M115" s="4">
        <v>70000</v>
      </c>
      <c r="N115" s="12">
        <v>22000</v>
      </c>
      <c r="O115" s="12"/>
      <c r="P115" s="12">
        <f>15000+37000</f>
        <v>52000</v>
      </c>
      <c r="Q115" s="4">
        <f t="shared" si="25"/>
        <v>4032441</v>
      </c>
      <c r="T115" s="24"/>
    </row>
    <row r="116" spans="1:20" s="26" customFormat="1" ht="52.15" customHeight="1" x14ac:dyDescent="0.2">
      <c r="A116" s="66" t="s">
        <v>188</v>
      </c>
      <c r="B116" s="66" t="s">
        <v>431</v>
      </c>
      <c r="C116" s="66" t="s">
        <v>85</v>
      </c>
      <c r="D116" s="119" t="s">
        <v>187</v>
      </c>
      <c r="E116" s="7" t="s">
        <v>11</v>
      </c>
      <c r="F116" s="4">
        <f t="shared" si="26"/>
        <v>2170600</v>
      </c>
      <c r="G116" s="4">
        <f>1898900+80000+191700</f>
        <v>2170600</v>
      </c>
      <c r="H116" s="12">
        <f>1594500+80000</f>
        <v>1674500</v>
      </c>
      <c r="I116" s="12">
        <v>288200</v>
      </c>
      <c r="J116" s="12"/>
      <c r="K116" s="4">
        <f t="shared" si="27"/>
        <v>45000</v>
      </c>
      <c r="L116" s="4"/>
      <c r="M116" s="4">
        <v>45000</v>
      </c>
      <c r="N116" s="12">
        <v>3050</v>
      </c>
      <c r="O116" s="12"/>
      <c r="P116" s="12">
        <f>380000-380000</f>
        <v>0</v>
      </c>
      <c r="Q116" s="4">
        <f t="shared" si="25"/>
        <v>2215600</v>
      </c>
      <c r="T116" s="24"/>
    </row>
    <row r="117" spans="1:20" s="26" customFormat="1" ht="36.6" customHeight="1" x14ac:dyDescent="0.2">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3.75" customHeight="1" x14ac:dyDescent="0.2">
      <c r="A118" s="66" t="s">
        <v>236</v>
      </c>
      <c r="B118" s="66" t="s">
        <v>433</v>
      </c>
      <c r="C118" s="66" t="s">
        <v>84</v>
      </c>
      <c r="D118" s="119" t="s">
        <v>237</v>
      </c>
      <c r="E118" s="7"/>
      <c r="F118" s="4">
        <f t="shared" si="26"/>
        <v>1525600</v>
      </c>
      <c r="G118" s="4">
        <f>1200000+102000+200000+23600</f>
        <v>1525600</v>
      </c>
      <c r="H118" s="12"/>
      <c r="I118" s="12"/>
      <c r="J118" s="12"/>
      <c r="K118" s="4">
        <f t="shared" si="27"/>
        <v>262000</v>
      </c>
      <c r="L118" s="4">
        <f>67000+195000</f>
        <v>262000</v>
      </c>
      <c r="M118" s="12"/>
      <c r="N118" s="4"/>
      <c r="O118" s="12"/>
      <c r="P118" s="12">
        <f>L118</f>
        <v>262000</v>
      </c>
      <c r="Q118" s="4">
        <f t="shared" si="25"/>
        <v>1787600</v>
      </c>
      <c r="T118" s="24"/>
    </row>
    <row r="119" spans="1:20" s="26" customFormat="1" ht="63.75" hidden="1" customHeight="1" x14ac:dyDescent="0.2">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5" customHeight="1" x14ac:dyDescent="0.2">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x14ac:dyDescent="0.2">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8">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x14ac:dyDescent="0.2">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15" customHeight="1" x14ac:dyDescent="0.2">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x14ac:dyDescent="0.2">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 customHeight="1" x14ac:dyDescent="0.2">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5" customHeight="1" x14ac:dyDescent="0.2">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x14ac:dyDescent="0.2">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x14ac:dyDescent="0.2">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x14ac:dyDescent="0.2">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50000000000003" customHeight="1" x14ac:dyDescent="0.2">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00000000000006" customHeight="1" x14ac:dyDescent="0.2">
      <c r="A131" s="74" t="s">
        <v>190</v>
      </c>
      <c r="B131" s="74" t="s">
        <v>190</v>
      </c>
      <c r="C131" s="88"/>
      <c r="D131" s="84" t="s">
        <v>34</v>
      </c>
      <c r="E131" s="83" t="s">
        <v>34</v>
      </c>
      <c r="F131" s="77">
        <f>F132</f>
        <v>42835309</v>
      </c>
      <c r="G131" s="77">
        <f>G132</f>
        <v>33895309</v>
      </c>
      <c r="H131" s="78">
        <f>H132</f>
        <v>4317300</v>
      </c>
      <c r="I131" s="78">
        <f>I132</f>
        <v>6194950</v>
      </c>
      <c r="J131" s="78">
        <f t="shared" ref="J131:P131" si="32">J132</f>
        <v>8940000</v>
      </c>
      <c r="K131" s="77">
        <f t="shared" si="32"/>
        <v>61344615.120000005</v>
      </c>
      <c r="L131" s="77">
        <f t="shared" si="32"/>
        <v>59990438</v>
      </c>
      <c r="M131" s="95">
        <f t="shared" si="32"/>
        <v>884177.12</v>
      </c>
      <c r="N131" s="78">
        <f t="shared" si="32"/>
        <v>0</v>
      </c>
      <c r="O131" s="78">
        <f t="shared" si="32"/>
        <v>0</v>
      </c>
      <c r="P131" s="77">
        <f t="shared" si="32"/>
        <v>60460438</v>
      </c>
      <c r="Q131" s="77">
        <f t="shared" si="25"/>
        <v>104179924.12</v>
      </c>
      <c r="T131" s="24"/>
    </row>
    <row r="132" spans="1:20" s="29" customFormat="1" ht="49.9" customHeight="1" x14ac:dyDescent="0.2">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SUM(F133:F166)</f>
        <v>42835309</v>
      </c>
      <c r="G132" s="99">
        <f t="shared" si="33"/>
        <v>33895309</v>
      </c>
      <c r="H132" s="100">
        <f t="shared" si="33"/>
        <v>4317300</v>
      </c>
      <c r="I132" s="100">
        <f t="shared" si="33"/>
        <v>6194950</v>
      </c>
      <c r="J132" s="100">
        <f t="shared" si="33"/>
        <v>8940000</v>
      </c>
      <c r="K132" s="99">
        <f>SUM(K133:K166)+K167</f>
        <v>61344615.120000005</v>
      </c>
      <c r="L132" s="99">
        <f t="shared" si="33"/>
        <v>59990438</v>
      </c>
      <c r="M132" s="99">
        <f t="shared" si="33"/>
        <v>884177.12</v>
      </c>
      <c r="N132" s="100">
        <f t="shared" si="33"/>
        <v>0</v>
      </c>
      <c r="O132" s="100">
        <f t="shared" si="33"/>
        <v>0</v>
      </c>
      <c r="P132" s="100">
        <f>SUM(P133:P166)+P167</f>
        <v>60460438</v>
      </c>
      <c r="Q132" s="87">
        <f t="shared" ref="Q132:Q187" si="34">F132+K132</f>
        <v>104179924.12</v>
      </c>
      <c r="T132" s="30"/>
    </row>
    <row r="133" spans="1:20" s="8" customFormat="1" ht="69" customHeight="1" x14ac:dyDescent="0.2">
      <c r="A133" s="66" t="s">
        <v>192</v>
      </c>
      <c r="B133" s="66" t="s">
        <v>358</v>
      </c>
      <c r="C133" s="66" t="s">
        <v>61</v>
      </c>
      <c r="D133" s="117" t="s">
        <v>308</v>
      </c>
      <c r="E133" s="7" t="s">
        <v>2</v>
      </c>
      <c r="F133" s="4">
        <f t="shared" ref="F133:F159" si="35">G133+J133</f>
        <v>4617900</v>
      </c>
      <c r="G133" s="4">
        <f>4407900+210000</f>
        <v>4617900</v>
      </c>
      <c r="H133" s="12">
        <f>4107300+210000</f>
        <v>4317300</v>
      </c>
      <c r="I133" s="12">
        <v>192950</v>
      </c>
      <c r="J133" s="12"/>
      <c r="K133" s="4">
        <f t="shared" ref="K133:K167" si="36">M133+P133</f>
        <v>200000</v>
      </c>
      <c r="L133" s="4"/>
      <c r="M133" s="62">
        <v>100000</v>
      </c>
      <c r="N133" s="4"/>
      <c r="O133" s="12"/>
      <c r="P133" s="12">
        <v>100000</v>
      </c>
      <c r="Q133" s="4">
        <f t="shared" si="34"/>
        <v>4817900</v>
      </c>
      <c r="T133" s="22"/>
    </row>
    <row r="134" spans="1:20" s="8" customFormat="1" ht="21" customHeight="1" x14ac:dyDescent="0.2">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15" customHeight="1" x14ac:dyDescent="0.2">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x14ac:dyDescent="0.2">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15" hidden="1" customHeight="1" x14ac:dyDescent="0.2">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15" hidden="1" customHeight="1" x14ac:dyDescent="0.2">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x14ac:dyDescent="0.2">
      <c r="A139" s="130">
        <v>1215045</v>
      </c>
      <c r="B139" s="66" t="s">
        <v>438</v>
      </c>
      <c r="C139" s="66" t="s">
        <v>77</v>
      </c>
      <c r="D139" s="118" t="s">
        <v>515</v>
      </c>
      <c r="E139" s="7"/>
      <c r="F139" s="4"/>
      <c r="G139" s="4"/>
      <c r="H139" s="12"/>
      <c r="I139" s="12"/>
      <c r="J139" s="12"/>
      <c r="K139" s="4">
        <f>M139+P139</f>
        <v>508839</v>
      </c>
      <c r="L139" s="4">
        <v>508839</v>
      </c>
      <c r="M139" s="53"/>
      <c r="N139" s="4"/>
      <c r="O139" s="12"/>
      <c r="P139" s="12">
        <v>508839</v>
      </c>
      <c r="Q139" s="4">
        <f>F139+K139</f>
        <v>508839</v>
      </c>
      <c r="T139" s="22"/>
    </row>
    <row r="140" spans="1:20" s="8" customFormat="1" ht="34.15" customHeight="1" x14ac:dyDescent="0.2">
      <c r="A140" s="72">
        <v>1216013</v>
      </c>
      <c r="B140" s="66" t="s">
        <v>441</v>
      </c>
      <c r="C140" s="66" t="s">
        <v>68</v>
      </c>
      <c r="D140" s="118" t="s">
        <v>267</v>
      </c>
      <c r="E140" s="7"/>
      <c r="F140" s="4">
        <f t="shared" si="35"/>
        <v>300000</v>
      </c>
      <c r="G140" s="4">
        <v>300000</v>
      </c>
      <c r="H140" s="12"/>
      <c r="I140" s="12"/>
      <c r="J140" s="12"/>
      <c r="K140" s="4">
        <f t="shared" si="36"/>
        <v>0</v>
      </c>
      <c r="L140" s="4"/>
      <c r="M140" s="53"/>
      <c r="N140" s="4"/>
      <c r="O140" s="12"/>
      <c r="P140" s="12"/>
      <c r="Q140" s="4">
        <f t="shared" si="34"/>
        <v>300000</v>
      </c>
      <c r="T140" s="22"/>
    </row>
    <row r="141" spans="1:20" s="8" customFormat="1" ht="52.9" customHeight="1" x14ac:dyDescent="0.2">
      <c r="A141" s="72">
        <v>1216016</v>
      </c>
      <c r="B141" s="66" t="s">
        <v>476</v>
      </c>
      <c r="C141" s="66" t="s">
        <v>68</v>
      </c>
      <c r="D141" s="118" t="s">
        <v>477</v>
      </c>
      <c r="E141" s="7"/>
      <c r="F141" s="4">
        <f>G141+J141</f>
        <v>0</v>
      </c>
      <c r="G141" s="4"/>
      <c r="H141" s="12"/>
      <c r="I141" s="12"/>
      <c r="J141" s="12">
        <f>300000-300000</f>
        <v>0</v>
      </c>
      <c r="K141" s="4">
        <f>M141+P141</f>
        <v>1500000</v>
      </c>
      <c r="L141" s="4">
        <f>1500000</f>
        <v>1500000</v>
      </c>
      <c r="M141" s="53"/>
      <c r="N141" s="4"/>
      <c r="O141" s="12"/>
      <c r="P141" s="12">
        <f>L141</f>
        <v>1500000</v>
      </c>
      <c r="Q141" s="4">
        <f>F141+K141</f>
        <v>1500000</v>
      </c>
      <c r="T141" s="22"/>
    </row>
    <row r="142" spans="1:20" s="8" customFormat="1" ht="34.15" hidden="1" customHeight="1" x14ac:dyDescent="0.2">
      <c r="A142" s="72">
        <v>1216017</v>
      </c>
      <c r="B142" s="66" t="s">
        <v>442</v>
      </c>
      <c r="C142" s="66" t="s">
        <v>68</v>
      </c>
      <c r="D142" s="37" t="s">
        <v>289</v>
      </c>
      <c r="E142" s="7"/>
      <c r="F142" s="4">
        <f t="shared" si="35"/>
        <v>0</v>
      </c>
      <c r="G142" s="4"/>
      <c r="H142" s="12"/>
      <c r="I142" s="12"/>
      <c r="J142" s="12"/>
      <c r="K142" s="4">
        <f t="shared" si="36"/>
        <v>0</v>
      </c>
      <c r="L142" s="4"/>
      <c r="M142" s="53"/>
      <c r="N142" s="4"/>
      <c r="O142" s="12"/>
      <c r="P142" s="12"/>
      <c r="Q142" s="4">
        <f t="shared" si="34"/>
        <v>0</v>
      </c>
      <c r="T142" s="22"/>
    </row>
    <row r="143" spans="1:20" s="8" customFormat="1" ht="75.599999999999994" customHeight="1" x14ac:dyDescent="0.2">
      <c r="A143" s="73">
        <v>1216020</v>
      </c>
      <c r="B143" s="66" t="s">
        <v>443</v>
      </c>
      <c r="C143" s="70" t="s">
        <v>68</v>
      </c>
      <c r="D143" s="128" t="s">
        <v>264</v>
      </c>
      <c r="E143" s="7"/>
      <c r="F143" s="4">
        <f t="shared" si="35"/>
        <v>800000</v>
      </c>
      <c r="G143" s="4"/>
      <c r="H143" s="12"/>
      <c r="I143" s="12"/>
      <c r="J143" s="12">
        <f>500000+300000</f>
        <v>800000</v>
      </c>
      <c r="K143" s="4">
        <f t="shared" si="36"/>
        <v>0</v>
      </c>
      <c r="L143" s="4"/>
      <c r="M143" s="53"/>
      <c r="N143" s="4"/>
      <c r="O143" s="12"/>
      <c r="P143" s="12">
        <f>L143</f>
        <v>0</v>
      </c>
      <c r="Q143" s="4">
        <f t="shared" si="34"/>
        <v>800000</v>
      </c>
      <c r="T143" s="22"/>
    </row>
    <row r="144" spans="1:20" s="8" customFormat="1" ht="36.75" customHeight="1" x14ac:dyDescent="0.2">
      <c r="A144" s="66" t="s">
        <v>194</v>
      </c>
      <c r="B144" s="66" t="s">
        <v>444</v>
      </c>
      <c r="C144" s="66" t="s">
        <v>68</v>
      </c>
      <c r="D144" s="119" t="s">
        <v>195</v>
      </c>
      <c r="E144" s="7" t="s">
        <v>46</v>
      </c>
      <c r="F144" s="41">
        <f t="shared" si="35"/>
        <v>20260287</v>
      </c>
      <c r="G144" s="41">
        <f>790000+150000+7200000+160000+1251196+2527126+6002000+800000-8140000+159625+310000+398950+53000+385000+385000+100000+30000+115200+113190+30000-700000</f>
        <v>12120287</v>
      </c>
      <c r="H144" s="12"/>
      <c r="I144" s="12">
        <v>6002000</v>
      </c>
      <c r="J144" s="12">
        <v>8140000</v>
      </c>
      <c r="K144" s="41">
        <f t="shared" si="36"/>
        <v>460612.12</v>
      </c>
      <c r="L144" s="41">
        <f>150000+199750+90000+19000</f>
        <v>458750</v>
      </c>
      <c r="M144" s="53">
        <v>1862.12</v>
      </c>
      <c r="N144" s="4"/>
      <c r="O144" s="12"/>
      <c r="P144" s="50">
        <f>L144</f>
        <v>458750</v>
      </c>
      <c r="Q144" s="41">
        <f t="shared" si="34"/>
        <v>20720899.120000001</v>
      </c>
      <c r="T144" s="22"/>
    </row>
    <row r="145" spans="1:20" s="26" customFormat="1" ht="21" customHeight="1" x14ac:dyDescent="0.2">
      <c r="A145" s="72">
        <v>1217130</v>
      </c>
      <c r="B145" s="66" t="s">
        <v>377</v>
      </c>
      <c r="C145" s="66" t="s">
        <v>70</v>
      </c>
      <c r="D145" s="129" t="s">
        <v>116</v>
      </c>
      <c r="E145" s="13"/>
      <c r="F145" s="4">
        <f t="shared" si="35"/>
        <v>147150</v>
      </c>
      <c r="G145" s="4">
        <f>40000+80150+27000</f>
        <v>147150</v>
      </c>
      <c r="H145" s="54"/>
      <c r="I145" s="54"/>
      <c r="J145" s="4"/>
      <c r="K145" s="4">
        <f t="shared" si="36"/>
        <v>4845</v>
      </c>
      <c r="L145" s="4"/>
      <c r="M145" s="55">
        <v>4845</v>
      </c>
      <c r="N145" s="4"/>
      <c r="O145" s="4"/>
      <c r="P145" s="4"/>
      <c r="Q145" s="4">
        <f t="shared" si="34"/>
        <v>151995</v>
      </c>
      <c r="T145" s="24"/>
    </row>
    <row r="146" spans="1:20" s="8" customFormat="1" ht="34.9" hidden="1" customHeight="1" x14ac:dyDescent="0.2">
      <c r="A146" s="66" t="s">
        <v>260</v>
      </c>
      <c r="B146" s="66" t="s">
        <v>445</v>
      </c>
      <c r="C146" s="66"/>
      <c r="D146" s="124" t="s">
        <v>500</v>
      </c>
      <c r="E146" s="13" t="s">
        <v>14</v>
      </c>
      <c r="F146" s="4">
        <f t="shared" si="35"/>
        <v>0</v>
      </c>
      <c r="G146" s="4"/>
      <c r="H146" s="12"/>
      <c r="I146" s="12"/>
      <c r="J146" s="12"/>
      <c r="K146" s="4">
        <f t="shared" si="36"/>
        <v>0</v>
      </c>
      <c r="L146" s="4"/>
      <c r="M146" s="53"/>
      <c r="N146" s="4"/>
      <c r="O146" s="12"/>
      <c r="P146" s="12">
        <f t="shared" ref="P146:P152" si="37">L146</f>
        <v>0</v>
      </c>
      <c r="Q146" s="4">
        <f t="shared" si="34"/>
        <v>0</v>
      </c>
      <c r="T146" s="22"/>
    </row>
    <row r="147" spans="1:20" s="8" customFormat="1" ht="40.5" customHeight="1" x14ac:dyDescent="0.2">
      <c r="A147" s="66" t="s">
        <v>261</v>
      </c>
      <c r="B147" s="66" t="s">
        <v>392</v>
      </c>
      <c r="C147" s="67" t="s">
        <v>83</v>
      </c>
      <c r="D147" s="10" t="s">
        <v>501</v>
      </c>
      <c r="E147" s="13"/>
      <c r="F147" s="4">
        <f t="shared" si="35"/>
        <v>0</v>
      </c>
      <c r="G147" s="4"/>
      <c r="H147" s="12"/>
      <c r="I147" s="12"/>
      <c r="J147" s="12"/>
      <c r="K147" s="4">
        <f t="shared" si="36"/>
        <v>5439300</v>
      </c>
      <c r="L147" s="4">
        <f>5439300</f>
        <v>5439300</v>
      </c>
      <c r="M147" s="53"/>
      <c r="N147" s="4"/>
      <c r="O147" s="12"/>
      <c r="P147" s="12">
        <f t="shared" si="37"/>
        <v>5439300</v>
      </c>
      <c r="Q147" s="4">
        <f t="shared" si="34"/>
        <v>5439300</v>
      </c>
      <c r="T147" s="22"/>
    </row>
    <row r="148" spans="1:20" s="8" customFormat="1" ht="40.5" customHeight="1" x14ac:dyDescent="0.2">
      <c r="A148" s="66" t="s">
        <v>516</v>
      </c>
      <c r="B148" s="66" t="s">
        <v>446</v>
      </c>
      <c r="C148" s="67" t="s">
        <v>83</v>
      </c>
      <c r="D148" s="10" t="s">
        <v>489</v>
      </c>
      <c r="E148" s="13"/>
      <c r="F148" s="4"/>
      <c r="G148" s="4"/>
      <c r="H148" s="12"/>
      <c r="I148" s="12"/>
      <c r="J148" s="12"/>
      <c r="K148" s="4">
        <f t="shared" si="36"/>
        <v>350000</v>
      </c>
      <c r="L148" s="4">
        <v>350000</v>
      </c>
      <c r="M148" s="53"/>
      <c r="N148" s="4"/>
      <c r="O148" s="12"/>
      <c r="P148" s="12">
        <v>350000</v>
      </c>
      <c r="Q148" s="4">
        <f t="shared" si="34"/>
        <v>350000</v>
      </c>
      <c r="T148" s="22"/>
    </row>
    <row r="149" spans="1:20" s="8" customFormat="1" ht="35.450000000000003" customHeight="1" x14ac:dyDescent="0.2">
      <c r="A149" s="66" t="s">
        <v>262</v>
      </c>
      <c r="B149" s="66" t="s">
        <v>447</v>
      </c>
      <c r="C149" s="67" t="s">
        <v>83</v>
      </c>
      <c r="D149" s="10" t="s">
        <v>494</v>
      </c>
      <c r="E149" s="13"/>
      <c r="F149" s="4">
        <f t="shared" si="35"/>
        <v>0</v>
      </c>
      <c r="G149" s="4"/>
      <c r="H149" s="12"/>
      <c r="I149" s="12"/>
      <c r="J149" s="12"/>
      <c r="K149" s="4">
        <f t="shared" si="36"/>
        <v>4000000</v>
      </c>
      <c r="L149" s="4">
        <v>4000000</v>
      </c>
      <c r="M149" s="53"/>
      <c r="N149" s="4"/>
      <c r="O149" s="12"/>
      <c r="P149" s="12">
        <f t="shared" si="37"/>
        <v>4000000</v>
      </c>
      <c r="Q149" s="4">
        <f t="shared" si="34"/>
        <v>4000000</v>
      </c>
      <c r="T149" s="22"/>
    </row>
    <row r="150" spans="1:20" s="8" customFormat="1" ht="3" hidden="1" customHeight="1" x14ac:dyDescent="0.2">
      <c r="A150" s="66" t="s">
        <v>262</v>
      </c>
      <c r="B150" s="66" t="s">
        <v>447</v>
      </c>
      <c r="C150" s="66" t="s">
        <v>83</v>
      </c>
      <c r="D150" s="40" t="s">
        <v>306</v>
      </c>
      <c r="E150" s="7"/>
      <c r="F150" s="4">
        <f t="shared" si="35"/>
        <v>0</v>
      </c>
      <c r="G150" s="4"/>
      <c r="H150" s="12"/>
      <c r="I150" s="12"/>
      <c r="J150" s="12"/>
      <c r="K150" s="4">
        <f t="shared" si="36"/>
        <v>0</v>
      </c>
      <c r="L150" s="4"/>
      <c r="M150" s="53"/>
      <c r="N150" s="4"/>
      <c r="O150" s="12"/>
      <c r="P150" s="12">
        <f t="shared" si="37"/>
        <v>0</v>
      </c>
      <c r="Q150" s="4">
        <f t="shared" si="34"/>
        <v>0</v>
      </c>
      <c r="T150" s="22"/>
    </row>
    <row r="151" spans="1:20" s="8" customFormat="1" ht="39" customHeight="1" x14ac:dyDescent="0.2">
      <c r="A151" s="66" t="s">
        <v>263</v>
      </c>
      <c r="B151" s="66" t="s">
        <v>448</v>
      </c>
      <c r="C151" s="66" t="s">
        <v>83</v>
      </c>
      <c r="D151" s="10" t="s">
        <v>502</v>
      </c>
      <c r="E151" s="7"/>
      <c r="F151" s="4">
        <f t="shared" si="35"/>
        <v>0</v>
      </c>
      <c r="G151" s="4"/>
      <c r="H151" s="12"/>
      <c r="I151" s="12"/>
      <c r="J151" s="12"/>
      <c r="K151" s="4">
        <f t="shared" si="36"/>
        <v>15443053</v>
      </c>
      <c r="L151" s="4">
        <f>9765668+4976385+120000+244190+166810+170000</f>
        <v>15443053</v>
      </c>
      <c r="M151" s="53"/>
      <c r="N151" s="4"/>
      <c r="O151" s="12"/>
      <c r="P151" s="12">
        <f t="shared" si="37"/>
        <v>15443053</v>
      </c>
      <c r="Q151" s="4">
        <f t="shared" si="34"/>
        <v>15443053</v>
      </c>
      <c r="T151" s="22"/>
    </row>
    <row r="152" spans="1:20" s="8" customFormat="1" ht="38.25" customHeight="1" x14ac:dyDescent="0.2">
      <c r="A152" s="66" t="s">
        <v>283</v>
      </c>
      <c r="B152" s="66" t="s">
        <v>449</v>
      </c>
      <c r="C152" s="66" t="s">
        <v>83</v>
      </c>
      <c r="D152" s="10" t="s">
        <v>303</v>
      </c>
      <c r="E152" s="7"/>
      <c r="F152" s="4">
        <f t="shared" si="35"/>
        <v>0</v>
      </c>
      <c r="G152" s="4"/>
      <c r="H152" s="12"/>
      <c r="I152" s="12"/>
      <c r="J152" s="12"/>
      <c r="K152" s="4">
        <f t="shared" si="36"/>
        <v>30000</v>
      </c>
      <c r="L152" s="4">
        <f>1966000-1936000</f>
        <v>30000</v>
      </c>
      <c r="M152" s="53"/>
      <c r="N152" s="4"/>
      <c r="O152" s="12"/>
      <c r="P152" s="12">
        <f t="shared" si="37"/>
        <v>30000</v>
      </c>
      <c r="Q152" s="4">
        <f t="shared" si="34"/>
        <v>30000</v>
      </c>
      <c r="T152" s="22"/>
    </row>
    <row r="153" spans="1:20" s="8" customFormat="1" ht="31.9" hidden="1" customHeight="1" x14ac:dyDescent="0.2">
      <c r="A153" s="66" t="s">
        <v>196</v>
      </c>
      <c r="B153" s="66" t="s">
        <v>450</v>
      </c>
      <c r="C153" s="66" t="s">
        <v>83</v>
      </c>
      <c r="D153" s="119" t="s">
        <v>197</v>
      </c>
      <c r="E153" s="7" t="s">
        <v>15</v>
      </c>
      <c r="F153" s="4">
        <f t="shared" si="35"/>
        <v>0</v>
      </c>
      <c r="G153" s="4"/>
      <c r="H153" s="12"/>
      <c r="I153" s="12"/>
      <c r="J153" s="12"/>
      <c r="K153" s="4">
        <f t="shared" si="36"/>
        <v>0</v>
      </c>
      <c r="L153" s="4"/>
      <c r="M153" s="53"/>
      <c r="N153" s="4"/>
      <c r="O153" s="12"/>
      <c r="P153" s="12">
        <f t="shared" ref="P153:P158" si="38">L153</f>
        <v>0</v>
      </c>
      <c r="Q153" s="4">
        <f t="shared" si="34"/>
        <v>0</v>
      </c>
      <c r="T153" s="22"/>
    </row>
    <row r="154" spans="1:20" s="8" customFormat="1" ht="48.6" hidden="1" customHeight="1" x14ac:dyDescent="0.2">
      <c r="A154" s="66" t="s">
        <v>272</v>
      </c>
      <c r="B154" s="66" t="s">
        <v>451</v>
      </c>
      <c r="C154" s="66" t="s">
        <v>210</v>
      </c>
      <c r="D154" s="10" t="s">
        <v>273</v>
      </c>
      <c r="E154" s="7"/>
      <c r="F154" s="4">
        <f t="shared" si="35"/>
        <v>0</v>
      </c>
      <c r="G154" s="4"/>
      <c r="H154" s="12"/>
      <c r="I154" s="12"/>
      <c r="J154" s="12"/>
      <c r="K154" s="4">
        <f t="shared" si="36"/>
        <v>0</v>
      </c>
      <c r="L154" s="4"/>
      <c r="M154" s="53"/>
      <c r="N154" s="4"/>
      <c r="O154" s="12"/>
      <c r="P154" s="12">
        <f t="shared" si="38"/>
        <v>0</v>
      </c>
      <c r="Q154" s="4">
        <f t="shared" si="34"/>
        <v>0</v>
      </c>
      <c r="T154" s="22"/>
    </row>
    <row r="155" spans="1:20" s="8" customFormat="1" ht="48.6" hidden="1" customHeight="1" x14ac:dyDescent="0.2">
      <c r="A155" s="66" t="s">
        <v>333</v>
      </c>
      <c r="B155" s="66" t="s">
        <v>452</v>
      </c>
      <c r="C155" s="66" t="s">
        <v>210</v>
      </c>
      <c r="D155" s="10" t="s">
        <v>334</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x14ac:dyDescent="0.2">
      <c r="A156" s="66" t="s">
        <v>275</v>
      </c>
      <c r="B156" s="66" t="s">
        <v>378</v>
      </c>
      <c r="C156" s="66" t="s">
        <v>210</v>
      </c>
      <c r="D156" s="10" t="s">
        <v>276</v>
      </c>
      <c r="E156" s="7"/>
      <c r="F156" s="4">
        <f t="shared" si="35"/>
        <v>0</v>
      </c>
      <c r="G156" s="4"/>
      <c r="H156" s="12"/>
      <c r="I156" s="12"/>
      <c r="J156" s="12"/>
      <c r="K156" s="4">
        <f t="shared" si="36"/>
        <v>0</v>
      </c>
      <c r="L156" s="41"/>
      <c r="M156" s="53"/>
      <c r="N156" s="41"/>
      <c r="O156" s="50"/>
      <c r="P156" s="50">
        <f t="shared" si="38"/>
        <v>0</v>
      </c>
      <c r="Q156" s="4">
        <f t="shared" si="34"/>
        <v>0</v>
      </c>
      <c r="T156" s="22"/>
    </row>
    <row r="157" spans="1:20" s="8" customFormat="1" ht="60" customHeight="1" x14ac:dyDescent="0.2">
      <c r="A157" s="66" t="s">
        <v>196</v>
      </c>
      <c r="B157" s="66" t="s">
        <v>450</v>
      </c>
      <c r="C157" s="66" t="s">
        <v>83</v>
      </c>
      <c r="D157" s="10" t="s">
        <v>463</v>
      </c>
      <c r="E157" s="7"/>
      <c r="F157" s="4">
        <f t="shared" si="35"/>
        <v>0</v>
      </c>
      <c r="G157" s="4"/>
      <c r="H157" s="12"/>
      <c r="I157" s="12"/>
      <c r="J157" s="12"/>
      <c r="K157" s="4">
        <f t="shared" si="36"/>
        <v>55300</v>
      </c>
      <c r="L157" s="41">
        <f>55300</f>
        <v>55300</v>
      </c>
      <c r="M157" s="53"/>
      <c r="N157" s="41"/>
      <c r="O157" s="50"/>
      <c r="P157" s="50">
        <f t="shared" si="38"/>
        <v>55300</v>
      </c>
      <c r="Q157" s="4">
        <f t="shared" si="34"/>
        <v>55300</v>
      </c>
      <c r="T157" s="22"/>
    </row>
    <row r="158" spans="1:20" s="8" customFormat="1" ht="57" customHeight="1" x14ac:dyDescent="0.2">
      <c r="A158" s="66" t="s">
        <v>271</v>
      </c>
      <c r="B158" s="66" t="s">
        <v>453</v>
      </c>
      <c r="C158" s="66" t="s">
        <v>257</v>
      </c>
      <c r="D158" s="63" t="s">
        <v>270</v>
      </c>
      <c r="E158" s="7"/>
      <c r="F158" s="41">
        <f t="shared" si="35"/>
        <v>15984972</v>
      </c>
      <c r="G158" s="41">
        <v>15984972</v>
      </c>
      <c r="H158" s="12"/>
      <c r="I158" s="12"/>
      <c r="J158" s="12"/>
      <c r="K158" s="41">
        <f t="shared" si="36"/>
        <v>25894631</v>
      </c>
      <c r="L158" s="4">
        <v>25886197</v>
      </c>
      <c r="M158" s="53">
        <f>8434</f>
        <v>8434</v>
      </c>
      <c r="N158" s="4"/>
      <c r="O158" s="12"/>
      <c r="P158" s="12">
        <f t="shared" si="38"/>
        <v>25886197</v>
      </c>
      <c r="Q158" s="41">
        <f t="shared" si="34"/>
        <v>41879603</v>
      </c>
      <c r="T158" s="22"/>
    </row>
    <row r="159" spans="1:20" s="8" customFormat="1" ht="44.45" customHeight="1" x14ac:dyDescent="0.2">
      <c r="A159" s="66" t="s">
        <v>478</v>
      </c>
      <c r="B159" s="66" t="s">
        <v>465</v>
      </c>
      <c r="C159" s="66" t="s">
        <v>466</v>
      </c>
      <c r="D159" s="119" t="s">
        <v>467</v>
      </c>
      <c r="E159" s="13"/>
      <c r="F159" s="4">
        <f t="shared" si="35"/>
        <v>5000</v>
      </c>
      <c r="G159" s="48">
        <v>5000</v>
      </c>
      <c r="H159" s="49"/>
      <c r="I159" s="49"/>
      <c r="J159" s="49"/>
      <c r="K159" s="4">
        <f t="shared" si="36"/>
        <v>0</v>
      </c>
      <c r="L159" s="48"/>
      <c r="M159" s="48"/>
      <c r="N159" s="48"/>
      <c r="O159" s="49"/>
      <c r="P159" s="49"/>
      <c r="Q159" s="4">
        <f>F159+K159</f>
        <v>5000</v>
      </c>
      <c r="T159" s="22"/>
    </row>
    <row r="160" spans="1:20" s="8" customFormat="1" ht="21" customHeight="1" x14ac:dyDescent="0.2">
      <c r="A160" s="66" t="s">
        <v>479</v>
      </c>
      <c r="B160" s="66" t="s">
        <v>380</v>
      </c>
      <c r="C160" s="66" t="s">
        <v>86</v>
      </c>
      <c r="D160" s="119" t="s">
        <v>141</v>
      </c>
      <c r="E160" s="7"/>
      <c r="F160" s="4">
        <f t="shared" ref="F160:F167" si="39">G160+J160</f>
        <v>0</v>
      </c>
      <c r="G160" s="4"/>
      <c r="H160" s="12"/>
      <c r="I160" s="12"/>
      <c r="J160" s="12"/>
      <c r="K160" s="4">
        <f t="shared" si="36"/>
        <v>1248999</v>
      </c>
      <c r="L160" s="4">
        <v>1248999</v>
      </c>
      <c r="M160" s="53"/>
      <c r="N160" s="4"/>
      <c r="O160" s="12"/>
      <c r="P160" s="12">
        <v>1248999</v>
      </c>
      <c r="Q160" s="4">
        <f t="shared" si="34"/>
        <v>1248999</v>
      </c>
      <c r="T160" s="22"/>
    </row>
    <row r="161" spans="1:20" s="8" customFormat="1" ht="42.6" customHeight="1" x14ac:dyDescent="0.2">
      <c r="A161" s="66" t="s">
        <v>254</v>
      </c>
      <c r="B161" s="66" t="s">
        <v>381</v>
      </c>
      <c r="C161" s="66" t="s">
        <v>210</v>
      </c>
      <c r="D161" s="119" t="s">
        <v>304</v>
      </c>
      <c r="E161" s="7"/>
      <c r="F161" s="4">
        <f t="shared" si="39"/>
        <v>0</v>
      </c>
      <c r="G161" s="4"/>
      <c r="H161" s="12"/>
      <c r="I161" s="12"/>
      <c r="J161" s="12"/>
      <c r="K161" s="4">
        <f>M161+P161</f>
        <v>5070000</v>
      </c>
      <c r="L161" s="4">
        <f>2250000+270000+1050000+1500000</f>
        <v>5070000</v>
      </c>
      <c r="M161" s="53"/>
      <c r="N161" s="4"/>
      <c r="O161" s="12"/>
      <c r="P161" s="12">
        <f>2250000+270000+1050000+1500000</f>
        <v>5070000</v>
      </c>
      <c r="Q161" s="4">
        <f>F161+K161</f>
        <v>5070000</v>
      </c>
      <c r="T161" s="22"/>
    </row>
    <row r="162" spans="1:20" s="8" customFormat="1" ht="42.6" customHeight="1" x14ac:dyDescent="0.2">
      <c r="A162" s="66" t="s">
        <v>505</v>
      </c>
      <c r="B162" s="66" t="s">
        <v>506</v>
      </c>
      <c r="C162" s="66" t="s">
        <v>210</v>
      </c>
      <c r="D162" s="119" t="s">
        <v>507</v>
      </c>
      <c r="E162" s="7"/>
      <c r="F162" s="4">
        <f>G162</f>
        <v>142000</v>
      </c>
      <c r="G162" s="4">
        <v>142000</v>
      </c>
      <c r="H162" s="12"/>
      <c r="I162" s="12"/>
      <c r="J162" s="12"/>
      <c r="K162" s="4"/>
      <c r="L162" s="4"/>
      <c r="M162" s="53"/>
      <c r="N162" s="4"/>
      <c r="O162" s="12"/>
      <c r="P162" s="12"/>
      <c r="Q162" s="4"/>
      <c r="T162" s="22"/>
    </row>
    <row r="163" spans="1:20" s="8" customFormat="1" ht="61.15" customHeight="1" x14ac:dyDescent="0.2">
      <c r="A163" s="66" t="s">
        <v>198</v>
      </c>
      <c r="B163" s="66" t="s">
        <v>383</v>
      </c>
      <c r="C163" s="66" t="s">
        <v>71</v>
      </c>
      <c r="D163" s="119" t="s">
        <v>238</v>
      </c>
      <c r="E163" s="7" t="s">
        <v>39</v>
      </c>
      <c r="F163" s="4">
        <f t="shared" si="39"/>
        <v>60000</v>
      </c>
      <c r="G163" s="4">
        <v>60000</v>
      </c>
      <c r="H163" s="12"/>
      <c r="I163" s="12"/>
      <c r="J163" s="12"/>
      <c r="K163" s="4">
        <f t="shared" si="36"/>
        <v>0</v>
      </c>
      <c r="L163" s="4"/>
      <c r="M163" s="53"/>
      <c r="N163" s="4"/>
      <c r="O163" s="12"/>
      <c r="P163" s="12">
        <f>L163</f>
        <v>0</v>
      </c>
      <c r="Q163" s="4">
        <f t="shared" si="34"/>
        <v>60000</v>
      </c>
      <c r="T163" s="22"/>
    </row>
    <row r="164" spans="1:20" s="8" customFormat="1" ht="19.899999999999999" customHeight="1" x14ac:dyDescent="0.2">
      <c r="A164" s="66" t="s">
        <v>199</v>
      </c>
      <c r="B164" s="66" t="s">
        <v>394</v>
      </c>
      <c r="C164" s="66" t="s">
        <v>71</v>
      </c>
      <c r="D164" s="119" t="s">
        <v>200</v>
      </c>
      <c r="E164" s="7" t="s">
        <v>19</v>
      </c>
      <c r="F164" s="4">
        <f t="shared" si="39"/>
        <v>100000</v>
      </c>
      <c r="G164" s="4">
        <v>100000</v>
      </c>
      <c r="H164" s="12"/>
      <c r="I164" s="12"/>
      <c r="J164" s="12"/>
      <c r="K164" s="4">
        <f t="shared" si="36"/>
        <v>0</v>
      </c>
      <c r="L164" s="4"/>
      <c r="M164" s="53"/>
      <c r="N164" s="4"/>
      <c r="O164" s="12"/>
      <c r="P164" s="12"/>
      <c r="Q164" s="4">
        <f t="shared" si="34"/>
        <v>100000</v>
      </c>
      <c r="T164" s="22"/>
    </row>
    <row r="165" spans="1:20" s="8" customFormat="1" ht="36.6" customHeight="1" x14ac:dyDescent="0.2">
      <c r="A165" s="68" t="s">
        <v>480</v>
      </c>
      <c r="B165" s="68" t="s">
        <v>469</v>
      </c>
      <c r="C165" s="68" t="s">
        <v>470</v>
      </c>
      <c r="D165" s="120" t="s">
        <v>471</v>
      </c>
      <c r="E165" s="7" t="s">
        <v>4</v>
      </c>
      <c r="F165" s="48">
        <f t="shared" si="39"/>
        <v>300000</v>
      </c>
      <c r="G165" s="48">
        <v>300000</v>
      </c>
      <c r="H165" s="49"/>
      <c r="I165" s="49"/>
      <c r="J165" s="49"/>
      <c r="K165" s="4">
        <f t="shared" si="36"/>
        <v>0</v>
      </c>
      <c r="L165" s="48"/>
      <c r="M165" s="48"/>
      <c r="N165" s="48"/>
      <c r="O165" s="49"/>
      <c r="P165" s="49"/>
      <c r="Q165" s="4">
        <f t="shared" si="34"/>
        <v>300000</v>
      </c>
      <c r="T165" s="22"/>
    </row>
    <row r="166" spans="1:20" s="8" customFormat="1" ht="43.15" customHeight="1" x14ac:dyDescent="0.2">
      <c r="A166" s="66" t="s">
        <v>208</v>
      </c>
      <c r="B166" s="66" t="s">
        <v>454</v>
      </c>
      <c r="C166" s="66" t="s">
        <v>201</v>
      </c>
      <c r="D166" s="119" t="s">
        <v>209</v>
      </c>
      <c r="E166" s="7" t="s">
        <v>56</v>
      </c>
      <c r="F166" s="4">
        <f t="shared" si="39"/>
        <v>0</v>
      </c>
      <c r="G166" s="4"/>
      <c r="H166" s="12"/>
      <c r="I166" s="12"/>
      <c r="J166" s="12"/>
      <c r="K166" s="41">
        <f t="shared" si="36"/>
        <v>769036</v>
      </c>
      <c r="L166" s="4"/>
      <c r="M166" s="53">
        <f>562900+206136</f>
        <v>769036</v>
      </c>
      <c r="N166" s="4"/>
      <c r="O166" s="12"/>
      <c r="P166" s="12"/>
      <c r="Q166" s="41">
        <f t="shared" si="34"/>
        <v>769036</v>
      </c>
      <c r="T166" s="22"/>
    </row>
    <row r="167" spans="1:20" s="8" customFormat="1" ht="43.15" customHeight="1" x14ac:dyDescent="0.2">
      <c r="A167" s="66" t="s">
        <v>508</v>
      </c>
      <c r="B167" s="66" t="s">
        <v>509</v>
      </c>
      <c r="C167" s="66" t="s">
        <v>510</v>
      </c>
      <c r="D167" s="119" t="s">
        <v>511</v>
      </c>
      <c r="E167" s="7"/>
      <c r="F167" s="4">
        <f t="shared" si="39"/>
        <v>0</v>
      </c>
      <c r="G167" s="4"/>
      <c r="H167" s="12"/>
      <c r="I167" s="12"/>
      <c r="J167" s="12"/>
      <c r="K167" s="41">
        <f t="shared" si="36"/>
        <v>370000</v>
      </c>
      <c r="L167" s="4"/>
      <c r="M167" s="53"/>
      <c r="N167" s="4"/>
      <c r="O167" s="12"/>
      <c r="P167" s="12">
        <v>370000</v>
      </c>
      <c r="Q167" s="41">
        <f t="shared" si="34"/>
        <v>370000</v>
      </c>
      <c r="T167" s="22"/>
    </row>
    <row r="168" spans="1:20" s="8" customFormat="1" ht="52.9" customHeight="1" x14ac:dyDescent="0.2">
      <c r="A168" s="74" t="s">
        <v>345</v>
      </c>
      <c r="B168" s="101">
        <v>3100000</v>
      </c>
      <c r="C168" s="74"/>
      <c r="D168" s="102" t="s">
        <v>495</v>
      </c>
      <c r="E168" s="83"/>
      <c r="F168" s="77">
        <f>F169</f>
        <v>3178400</v>
      </c>
      <c r="G168" s="77">
        <f t="shared" ref="G168:P168" si="40">G169</f>
        <v>3178400</v>
      </c>
      <c r="H168" s="78">
        <f t="shared" si="40"/>
        <v>2875700</v>
      </c>
      <c r="I168" s="78">
        <f t="shared" si="40"/>
        <v>81250</v>
      </c>
      <c r="J168" s="78">
        <f t="shared" si="40"/>
        <v>0</v>
      </c>
      <c r="K168" s="78">
        <f t="shared" si="40"/>
        <v>36000</v>
      </c>
      <c r="L168" s="78">
        <f t="shared" si="40"/>
        <v>36000</v>
      </c>
      <c r="M168" s="78">
        <f t="shared" si="40"/>
        <v>0</v>
      </c>
      <c r="N168" s="78">
        <f t="shared" si="40"/>
        <v>0</v>
      </c>
      <c r="O168" s="78">
        <f t="shared" si="40"/>
        <v>0</v>
      </c>
      <c r="P168" s="78">
        <f t="shared" si="40"/>
        <v>36000</v>
      </c>
      <c r="Q168" s="78">
        <f>F168+K168</f>
        <v>3214400</v>
      </c>
      <c r="T168" s="22"/>
    </row>
    <row r="169" spans="1:20" s="8" customFormat="1" ht="39" customHeight="1" x14ac:dyDescent="0.2">
      <c r="A169" s="79" t="s">
        <v>346</v>
      </c>
      <c r="B169" s="103">
        <v>3110000</v>
      </c>
      <c r="C169" s="79"/>
      <c r="D169" s="104" t="str">
        <f>D168</f>
        <v>Управління комунального майна  та земельних відносин</v>
      </c>
      <c r="E169" s="85"/>
      <c r="F169" s="87">
        <f>SUM(F170:F175)</f>
        <v>3178400</v>
      </c>
      <c r="G169" s="87">
        <f t="shared" ref="G169:P169" si="41">SUM(G170:G175)</f>
        <v>3178400</v>
      </c>
      <c r="H169" s="87">
        <f t="shared" si="41"/>
        <v>2875700</v>
      </c>
      <c r="I169" s="87">
        <f t="shared" si="41"/>
        <v>81250</v>
      </c>
      <c r="J169" s="87">
        <f t="shared" si="41"/>
        <v>0</v>
      </c>
      <c r="K169" s="87">
        <f t="shared" si="41"/>
        <v>36000</v>
      </c>
      <c r="L169" s="87">
        <f t="shared" si="41"/>
        <v>36000</v>
      </c>
      <c r="M169" s="87">
        <f t="shared" si="41"/>
        <v>0</v>
      </c>
      <c r="N169" s="87">
        <f t="shared" si="41"/>
        <v>0</v>
      </c>
      <c r="O169" s="87">
        <f t="shared" si="41"/>
        <v>0</v>
      </c>
      <c r="P169" s="87">
        <f t="shared" si="41"/>
        <v>36000</v>
      </c>
      <c r="Q169" s="82">
        <f t="shared" ref="Q169:Q175" si="42">F169+K169</f>
        <v>3214400</v>
      </c>
      <c r="T169" s="22"/>
    </row>
    <row r="170" spans="1:20" s="8" customFormat="1" ht="73.900000000000006" customHeight="1" x14ac:dyDescent="0.2">
      <c r="A170" s="66" t="s">
        <v>347</v>
      </c>
      <c r="B170" s="66" t="s">
        <v>358</v>
      </c>
      <c r="C170" s="66" t="s">
        <v>61</v>
      </c>
      <c r="D170" s="117" t="s">
        <v>305</v>
      </c>
      <c r="E170" s="7"/>
      <c r="F170" s="4">
        <f>G170</f>
        <v>3042400</v>
      </c>
      <c r="G170" s="4">
        <f>2905400+137000</f>
        <v>3042400</v>
      </c>
      <c r="H170" s="12">
        <f>2738700+137000</f>
        <v>2875700</v>
      </c>
      <c r="I170" s="12">
        <f>77350+3900</f>
        <v>81250</v>
      </c>
      <c r="J170" s="12"/>
      <c r="K170" s="4">
        <f t="shared" ref="K170:K175" si="43">M170+P170</f>
        <v>0</v>
      </c>
      <c r="L170" s="4"/>
      <c r="M170" s="53"/>
      <c r="N170" s="4"/>
      <c r="O170" s="12"/>
      <c r="P170" s="12">
        <f>L170</f>
        <v>0</v>
      </c>
      <c r="Q170" s="4">
        <f t="shared" si="42"/>
        <v>3042400</v>
      </c>
      <c r="T170" s="22"/>
    </row>
    <row r="171" spans="1:20" s="8" customFormat="1" ht="36" customHeight="1" x14ac:dyDescent="0.2">
      <c r="A171" s="66" t="s">
        <v>348</v>
      </c>
      <c r="B171" s="66" t="s">
        <v>280</v>
      </c>
      <c r="C171" s="66" t="s">
        <v>72</v>
      </c>
      <c r="D171" s="117" t="s">
        <v>139</v>
      </c>
      <c r="E171" s="7"/>
      <c r="F171" s="41">
        <f>G171</f>
        <v>36000</v>
      </c>
      <c r="G171" s="41">
        <f>35000+1000</f>
        <v>36000</v>
      </c>
      <c r="H171" s="12"/>
      <c r="I171" s="12"/>
      <c r="J171" s="12"/>
      <c r="K171" s="4">
        <f t="shared" si="43"/>
        <v>0</v>
      </c>
      <c r="L171" s="4"/>
      <c r="M171" s="53"/>
      <c r="N171" s="4"/>
      <c r="O171" s="12"/>
      <c r="P171" s="12"/>
      <c r="Q171" s="4">
        <f t="shared" si="42"/>
        <v>36000</v>
      </c>
      <c r="T171" s="22"/>
    </row>
    <row r="172" spans="1:20" s="8" customFormat="1" ht="20.25" customHeight="1" x14ac:dyDescent="0.2">
      <c r="A172" s="66" t="s">
        <v>349</v>
      </c>
      <c r="B172" s="66" t="s">
        <v>377</v>
      </c>
      <c r="C172" s="66" t="s">
        <v>70</v>
      </c>
      <c r="D172" s="129" t="s">
        <v>116</v>
      </c>
      <c r="E172" s="7"/>
      <c r="F172" s="41">
        <f>G172</f>
        <v>65000</v>
      </c>
      <c r="G172" s="41">
        <v>65000</v>
      </c>
      <c r="H172" s="12"/>
      <c r="I172" s="12"/>
      <c r="J172" s="12"/>
      <c r="K172" s="4">
        <f t="shared" si="43"/>
        <v>0</v>
      </c>
      <c r="L172" s="4"/>
      <c r="M172" s="53"/>
      <c r="N172" s="4"/>
      <c r="O172" s="12"/>
      <c r="P172" s="12"/>
      <c r="Q172" s="4">
        <f t="shared" si="42"/>
        <v>65000</v>
      </c>
      <c r="T172" s="22"/>
    </row>
    <row r="173" spans="1:20" s="8" customFormat="1" ht="37.9" customHeight="1" x14ac:dyDescent="0.2">
      <c r="A173" s="66" t="s">
        <v>350</v>
      </c>
      <c r="B173" s="66" t="s">
        <v>455</v>
      </c>
      <c r="C173" s="66" t="s">
        <v>210</v>
      </c>
      <c r="D173" s="118" t="s">
        <v>265</v>
      </c>
      <c r="E173" s="7"/>
      <c r="F173" s="4">
        <f>G173</f>
        <v>0</v>
      </c>
      <c r="G173" s="4"/>
      <c r="H173" s="12"/>
      <c r="I173" s="12"/>
      <c r="J173" s="12"/>
      <c r="K173" s="4">
        <f t="shared" si="43"/>
        <v>11000</v>
      </c>
      <c r="L173" s="4">
        <v>11000</v>
      </c>
      <c r="M173" s="53"/>
      <c r="N173" s="4"/>
      <c r="O173" s="12"/>
      <c r="P173" s="12">
        <f>L173</f>
        <v>11000</v>
      </c>
      <c r="Q173" s="4">
        <f t="shared" si="42"/>
        <v>11000</v>
      </c>
      <c r="T173" s="22"/>
    </row>
    <row r="174" spans="1:20" s="8" customFormat="1" ht="39" customHeight="1" x14ac:dyDescent="0.2">
      <c r="A174" s="66" t="s">
        <v>481</v>
      </c>
      <c r="B174" s="66" t="s">
        <v>465</v>
      </c>
      <c r="C174" s="66" t="s">
        <v>466</v>
      </c>
      <c r="D174" s="119" t="s">
        <v>467</v>
      </c>
      <c r="E174" s="7"/>
      <c r="F174" s="4">
        <f>G174+J174</f>
        <v>35000</v>
      </c>
      <c r="G174" s="4">
        <v>35000</v>
      </c>
      <c r="H174" s="12"/>
      <c r="I174" s="12"/>
      <c r="J174" s="12"/>
      <c r="K174" s="4">
        <f t="shared" si="43"/>
        <v>25000</v>
      </c>
      <c r="L174" s="4">
        <v>25000</v>
      </c>
      <c r="M174" s="4"/>
      <c r="N174" s="4"/>
      <c r="O174" s="12"/>
      <c r="P174" s="12">
        <v>25000</v>
      </c>
      <c r="Q174" s="4">
        <f>F174+K174</f>
        <v>60000</v>
      </c>
      <c r="T174" s="22"/>
    </row>
    <row r="175" spans="1:20" s="8" customFormat="1" ht="81.75" hidden="1" customHeight="1" x14ac:dyDescent="0.2">
      <c r="A175" s="66" t="s">
        <v>351</v>
      </c>
      <c r="B175" s="66" t="s">
        <v>456</v>
      </c>
      <c r="C175" s="66" t="s">
        <v>210</v>
      </c>
      <c r="D175" s="38" t="s">
        <v>256</v>
      </c>
      <c r="E175" s="7"/>
      <c r="F175" s="4">
        <f>G175</f>
        <v>0</v>
      </c>
      <c r="G175" s="4"/>
      <c r="H175" s="12"/>
      <c r="I175" s="12"/>
      <c r="J175" s="12"/>
      <c r="K175" s="4">
        <f t="shared" si="43"/>
        <v>0</v>
      </c>
      <c r="L175" s="4"/>
      <c r="M175" s="53"/>
      <c r="N175" s="4"/>
      <c r="O175" s="12"/>
      <c r="P175" s="12">
        <f>L175</f>
        <v>0</v>
      </c>
      <c r="Q175" s="4">
        <f t="shared" si="42"/>
        <v>0</v>
      </c>
      <c r="T175" s="22"/>
    </row>
    <row r="176" spans="1:20" s="26" customFormat="1" ht="42.6" customHeight="1" x14ac:dyDescent="0.2">
      <c r="A176" s="74" t="s">
        <v>202</v>
      </c>
      <c r="B176" s="105">
        <v>3700000</v>
      </c>
      <c r="C176" s="83"/>
      <c r="D176" s="84" t="s">
        <v>5</v>
      </c>
      <c r="E176" s="83" t="s">
        <v>5</v>
      </c>
      <c r="F176" s="106">
        <f>F177</f>
        <v>14376259</v>
      </c>
      <c r="G176" s="106">
        <f t="shared" ref="G176:P176" si="44">G177</f>
        <v>5751364</v>
      </c>
      <c r="H176" s="78">
        <f t="shared" si="44"/>
        <v>4992000</v>
      </c>
      <c r="I176" s="78">
        <f t="shared" si="44"/>
        <v>114000</v>
      </c>
      <c r="J176" s="78">
        <f t="shared" si="44"/>
        <v>2000000</v>
      </c>
      <c r="K176" s="77">
        <f t="shared" si="44"/>
        <v>60000</v>
      </c>
      <c r="L176" s="78">
        <f t="shared" si="44"/>
        <v>60000</v>
      </c>
      <c r="M176" s="78">
        <f t="shared" si="44"/>
        <v>0</v>
      </c>
      <c r="N176" s="78">
        <f t="shared" si="44"/>
        <v>0</v>
      </c>
      <c r="O176" s="78">
        <f t="shared" si="44"/>
        <v>0</v>
      </c>
      <c r="P176" s="78">
        <f t="shared" si="44"/>
        <v>60000</v>
      </c>
      <c r="Q176" s="77">
        <f t="shared" si="34"/>
        <v>14436259</v>
      </c>
      <c r="R176" s="14"/>
      <c r="T176" s="24"/>
    </row>
    <row r="177" spans="1:20" s="26" customFormat="1" ht="40.9" customHeight="1" x14ac:dyDescent="0.2">
      <c r="A177" s="79" t="s">
        <v>203</v>
      </c>
      <c r="B177" s="107">
        <v>3710000</v>
      </c>
      <c r="C177" s="85"/>
      <c r="D177" s="86" t="str">
        <f>D176</f>
        <v>Фінансове управління міської ради</v>
      </c>
      <c r="E177" s="85"/>
      <c r="F177" s="108">
        <f>SUM(F178:F186)</f>
        <v>14376259</v>
      </c>
      <c r="G177" s="108">
        <f t="shared" ref="G177:P177" si="45">SUM(G178:G186)</f>
        <v>5751364</v>
      </c>
      <c r="H177" s="108">
        <f t="shared" si="45"/>
        <v>4992000</v>
      </c>
      <c r="I177" s="108">
        <f t="shared" si="45"/>
        <v>114000</v>
      </c>
      <c r="J177" s="108">
        <f t="shared" si="45"/>
        <v>2000000</v>
      </c>
      <c r="K177" s="108">
        <f t="shared" si="45"/>
        <v>60000</v>
      </c>
      <c r="L177" s="108">
        <f t="shared" si="45"/>
        <v>60000</v>
      </c>
      <c r="M177" s="108">
        <f t="shared" si="45"/>
        <v>0</v>
      </c>
      <c r="N177" s="108">
        <f t="shared" si="45"/>
        <v>0</v>
      </c>
      <c r="O177" s="108">
        <f t="shared" si="45"/>
        <v>0</v>
      </c>
      <c r="P177" s="108">
        <f t="shared" si="45"/>
        <v>60000</v>
      </c>
      <c r="Q177" s="87">
        <f t="shared" si="34"/>
        <v>14436259</v>
      </c>
      <c r="R177" s="14"/>
      <c r="T177" s="24"/>
    </row>
    <row r="178" spans="1:20" s="8" customFormat="1" ht="74.45" customHeight="1" x14ac:dyDescent="0.2">
      <c r="A178" s="66" t="s">
        <v>204</v>
      </c>
      <c r="B178" s="66" t="s">
        <v>358</v>
      </c>
      <c r="C178" s="66" t="s">
        <v>61</v>
      </c>
      <c r="D178" s="117" t="s">
        <v>305</v>
      </c>
      <c r="E178" s="7" t="s">
        <v>2</v>
      </c>
      <c r="F178" s="4">
        <f>G178+J178</f>
        <v>5310512</v>
      </c>
      <c r="G178" s="4">
        <f>5063500+12+247000</f>
        <v>5310512</v>
      </c>
      <c r="H178" s="12">
        <f>4745000+247000</f>
        <v>4992000</v>
      </c>
      <c r="I178" s="12">
        <v>114000</v>
      </c>
      <c r="J178" s="12"/>
      <c r="K178" s="4">
        <f t="shared" ref="K178:K186" si="46">M178+P178</f>
        <v>10000</v>
      </c>
      <c r="L178" s="4">
        <v>10000</v>
      </c>
      <c r="M178" s="12"/>
      <c r="N178" s="4"/>
      <c r="O178" s="12"/>
      <c r="P178" s="12">
        <v>10000</v>
      </c>
      <c r="Q178" s="4">
        <f t="shared" si="34"/>
        <v>5320512</v>
      </c>
      <c r="T178" s="22"/>
    </row>
    <row r="179" spans="1:20" s="8" customFormat="1" ht="34.9" customHeight="1" x14ac:dyDescent="0.2">
      <c r="A179" s="66" t="s">
        <v>253</v>
      </c>
      <c r="B179" s="66" t="s">
        <v>280</v>
      </c>
      <c r="C179" s="66" t="s">
        <v>72</v>
      </c>
      <c r="D179" s="117" t="s">
        <v>139</v>
      </c>
      <c r="E179" s="7"/>
      <c r="F179" s="41">
        <f>G179+J179</f>
        <v>3250</v>
      </c>
      <c r="G179" s="41">
        <f>2250+1000</f>
        <v>3250</v>
      </c>
      <c r="H179" s="12"/>
      <c r="I179" s="12"/>
      <c r="J179" s="12"/>
      <c r="K179" s="4">
        <f t="shared" si="46"/>
        <v>0</v>
      </c>
      <c r="L179" s="4"/>
      <c r="M179" s="12"/>
      <c r="N179" s="4"/>
      <c r="O179" s="12"/>
      <c r="P179" s="12"/>
      <c r="Q179" s="4">
        <f t="shared" si="34"/>
        <v>3250</v>
      </c>
      <c r="T179" s="22"/>
    </row>
    <row r="180" spans="1:20" s="8" customFormat="1" ht="44.45" customHeight="1" x14ac:dyDescent="0.2">
      <c r="A180" s="66" t="s">
        <v>482</v>
      </c>
      <c r="B180" s="66" t="s">
        <v>465</v>
      </c>
      <c r="C180" s="66" t="s">
        <v>466</v>
      </c>
      <c r="D180" s="119" t="s">
        <v>467</v>
      </c>
      <c r="E180" s="13"/>
      <c r="F180" s="4">
        <f>G180+J180</f>
        <v>60000</v>
      </c>
      <c r="G180" s="48">
        <v>60000</v>
      </c>
      <c r="H180" s="49"/>
      <c r="I180" s="49"/>
      <c r="J180" s="49"/>
      <c r="K180" s="4">
        <f t="shared" si="46"/>
        <v>50000</v>
      </c>
      <c r="L180" s="48">
        <v>50000</v>
      </c>
      <c r="M180" s="48"/>
      <c r="N180" s="48"/>
      <c r="O180" s="49"/>
      <c r="P180" s="49">
        <v>50000</v>
      </c>
      <c r="Q180" s="4">
        <f>F180+K180</f>
        <v>110000</v>
      </c>
      <c r="T180" s="22"/>
    </row>
    <row r="181" spans="1:20" s="8" customFormat="1" ht="32.25" hidden="1" customHeight="1" x14ac:dyDescent="0.2">
      <c r="A181" s="66" t="s">
        <v>336</v>
      </c>
      <c r="B181" s="66" t="s">
        <v>457</v>
      </c>
      <c r="C181" s="66" t="s">
        <v>280</v>
      </c>
      <c r="D181" s="117" t="s">
        <v>337</v>
      </c>
      <c r="E181" s="7"/>
      <c r="F181" s="41">
        <f>G181+J181</f>
        <v>0</v>
      </c>
      <c r="G181" s="41"/>
      <c r="H181" s="12"/>
      <c r="I181" s="12"/>
      <c r="J181" s="56"/>
      <c r="K181" s="4"/>
      <c r="L181" s="4"/>
      <c r="M181" s="12"/>
      <c r="N181" s="4"/>
      <c r="O181" s="12"/>
      <c r="P181" s="12"/>
      <c r="Q181" s="4">
        <f t="shared" si="34"/>
        <v>0</v>
      </c>
      <c r="T181" s="22"/>
    </row>
    <row r="182" spans="1:20" s="8" customFormat="1" ht="39" customHeight="1" x14ac:dyDescent="0.2">
      <c r="A182" s="66" t="s">
        <v>315</v>
      </c>
      <c r="B182" s="66" t="s">
        <v>458</v>
      </c>
      <c r="C182" s="66" t="s">
        <v>316</v>
      </c>
      <c r="D182" s="117" t="s">
        <v>317</v>
      </c>
      <c r="E182" s="7"/>
      <c r="F182" s="4">
        <f>G182+J182</f>
        <v>277602</v>
      </c>
      <c r="G182" s="4">
        <v>277602</v>
      </c>
      <c r="H182" s="12"/>
      <c r="I182" s="12"/>
      <c r="J182" s="12"/>
      <c r="K182" s="4">
        <f t="shared" si="46"/>
        <v>0</v>
      </c>
      <c r="L182" s="4"/>
      <c r="M182" s="12"/>
      <c r="N182" s="4"/>
      <c r="O182" s="12"/>
      <c r="P182" s="12"/>
      <c r="Q182" s="4">
        <f t="shared" si="34"/>
        <v>277602</v>
      </c>
      <c r="T182" s="22"/>
    </row>
    <row r="183" spans="1:20" s="8" customFormat="1" ht="39" customHeight="1" x14ac:dyDescent="0.2">
      <c r="A183" s="66" t="s">
        <v>205</v>
      </c>
      <c r="B183" s="66" t="s">
        <v>459</v>
      </c>
      <c r="C183" s="66" t="s">
        <v>72</v>
      </c>
      <c r="D183" s="117" t="s">
        <v>92</v>
      </c>
      <c r="E183" s="7"/>
      <c r="F183" s="41">
        <f>2828295+3666706+4383689+100000-3000000-211500-2828295+986000+700000</f>
        <v>6624895</v>
      </c>
      <c r="G183" s="4"/>
      <c r="H183" s="12"/>
      <c r="I183" s="12"/>
      <c r="J183" s="12"/>
      <c r="K183" s="4">
        <f t="shared" si="46"/>
        <v>0</v>
      </c>
      <c r="L183" s="4"/>
      <c r="M183" s="12"/>
      <c r="N183" s="4"/>
      <c r="O183" s="12"/>
      <c r="P183" s="12"/>
      <c r="Q183" s="41">
        <f>F183+K183</f>
        <v>6624895</v>
      </c>
      <c r="T183" s="22"/>
    </row>
    <row r="184" spans="1:20" s="8" customFormat="1" ht="22.5" hidden="1" customHeight="1" x14ac:dyDescent="0.2">
      <c r="A184" s="66" t="s">
        <v>286</v>
      </c>
      <c r="B184" s="66" t="s">
        <v>460</v>
      </c>
      <c r="C184" s="66" t="s">
        <v>280</v>
      </c>
      <c r="D184" s="36" t="s">
        <v>287</v>
      </c>
      <c r="E184" s="7"/>
      <c r="F184" s="4">
        <f>G184+J184</f>
        <v>0</v>
      </c>
      <c r="G184" s="4"/>
      <c r="H184" s="12"/>
      <c r="I184" s="12"/>
      <c r="J184" s="56"/>
      <c r="K184" s="4">
        <f t="shared" si="46"/>
        <v>0</v>
      </c>
      <c r="L184" s="4"/>
      <c r="M184" s="12"/>
      <c r="N184" s="4"/>
      <c r="O184" s="12"/>
      <c r="P184" s="12"/>
      <c r="Q184" s="4">
        <f t="shared" si="34"/>
        <v>0</v>
      </c>
      <c r="T184" s="22"/>
    </row>
    <row r="185" spans="1:20" s="8" customFormat="1" ht="36.6" customHeight="1" x14ac:dyDescent="0.2">
      <c r="A185" s="66" t="s">
        <v>286</v>
      </c>
      <c r="B185" s="66" t="s">
        <v>460</v>
      </c>
      <c r="C185" s="66" t="s">
        <v>280</v>
      </c>
      <c r="D185" s="36" t="s">
        <v>287</v>
      </c>
      <c r="E185" s="7"/>
      <c r="F185" s="4">
        <f>G185+J185</f>
        <v>2000000</v>
      </c>
      <c r="G185" s="4"/>
      <c r="H185" s="12"/>
      <c r="I185" s="12"/>
      <c r="J185" s="12">
        <v>2000000</v>
      </c>
      <c r="K185" s="4"/>
      <c r="L185" s="4"/>
      <c r="M185" s="12"/>
      <c r="N185" s="4"/>
      <c r="O185" s="12"/>
      <c r="P185" s="12"/>
      <c r="Q185" s="4"/>
      <c r="T185" s="22"/>
    </row>
    <row r="186" spans="1:20" s="8" customFormat="1" ht="75.599999999999994" customHeight="1" x14ac:dyDescent="0.2">
      <c r="A186" s="66" t="s">
        <v>281</v>
      </c>
      <c r="B186" s="66" t="s">
        <v>461</v>
      </c>
      <c r="C186" s="66" t="s">
        <v>280</v>
      </c>
      <c r="D186" s="117" t="s">
        <v>282</v>
      </c>
      <c r="E186" s="7"/>
      <c r="F186" s="4">
        <f>G186+J186</f>
        <v>100000</v>
      </c>
      <c r="G186" s="4">
        <v>100000</v>
      </c>
      <c r="H186" s="12"/>
      <c r="I186" s="12"/>
      <c r="J186" s="12"/>
      <c r="K186" s="4">
        <f t="shared" si="46"/>
        <v>0</v>
      </c>
      <c r="L186" s="4"/>
      <c r="M186" s="12"/>
      <c r="N186" s="4"/>
      <c r="O186" s="12"/>
      <c r="P186" s="12"/>
      <c r="Q186" s="4">
        <f t="shared" si="34"/>
        <v>100000</v>
      </c>
      <c r="T186" s="22"/>
    </row>
    <row r="187" spans="1:20" s="15" customFormat="1" ht="51" customHeight="1" x14ac:dyDescent="0.2">
      <c r="A187" s="109"/>
      <c r="B187" s="109"/>
      <c r="C187" s="109"/>
      <c r="D187" s="110" t="s">
        <v>206</v>
      </c>
      <c r="E187" s="109" t="s">
        <v>13</v>
      </c>
      <c r="F187" s="77">
        <f>F11+F47+F109+F121+F131+F176+F67+F168</f>
        <v>402231448.15999997</v>
      </c>
      <c r="G187" s="77">
        <f>G11+G47+G109+G121+G131+G176+G67+G168</f>
        <v>383505953.15999997</v>
      </c>
      <c r="H187" s="77">
        <f>H11+H47+H109+H121+H131+H176+H67+H168</f>
        <v>249866536.41</v>
      </c>
      <c r="I187" s="77">
        <f>I11+I47+I109+I121+I131+I176+I67+I168</f>
        <v>35680580</v>
      </c>
      <c r="J187" s="78">
        <f>J11+J47+J109+J121+J131+J176+J67</f>
        <v>12100600</v>
      </c>
      <c r="K187" s="77">
        <f>K11+K47+K109+K121+K131+K176+K67+K168</f>
        <v>93664289.879999995</v>
      </c>
      <c r="L187" s="77">
        <f>L11+L47+L109+L121+L131+L176+L67+L168</f>
        <v>82581812.75999999</v>
      </c>
      <c r="M187" s="77">
        <f>M11+M47+M109+M121+M131+M176+M67+M168</f>
        <v>10612477.119999999</v>
      </c>
      <c r="N187" s="78">
        <f>N11+N47+N109+N121+N131+N176+N67</f>
        <v>578050</v>
      </c>
      <c r="O187" s="78">
        <f>O11+O47+O109+O121+O131+O176+O67</f>
        <v>296300</v>
      </c>
      <c r="P187" s="77">
        <f>P11+P47+P109+P121+P131+P176+P67+P168</f>
        <v>83051812.75999999</v>
      </c>
      <c r="Q187" s="77">
        <f t="shared" si="34"/>
        <v>495895738.03999996</v>
      </c>
      <c r="R187" s="61"/>
      <c r="S187" s="16"/>
      <c r="T187" s="17"/>
    </row>
    <row r="188" spans="1:20" s="14" customFormat="1" ht="34.5" customHeight="1" x14ac:dyDescent="0.2">
      <c r="A188" s="111"/>
      <c r="B188" s="111"/>
      <c r="C188" s="111"/>
      <c r="D188" s="112"/>
      <c r="E188" s="111"/>
      <c r="F188" s="113"/>
      <c r="G188" s="113"/>
      <c r="H188" s="113"/>
      <c r="I188" s="113"/>
      <c r="J188" s="114"/>
      <c r="K188" s="113"/>
      <c r="L188" s="113"/>
      <c r="M188" s="113"/>
      <c r="N188" s="114"/>
      <c r="O188" s="114"/>
      <c r="P188" s="113"/>
      <c r="Q188" s="113"/>
      <c r="R188" s="115"/>
      <c r="S188" s="116"/>
      <c r="T188" s="18"/>
    </row>
    <row r="189" spans="1:20" s="14" customFormat="1" ht="57" customHeight="1" x14ac:dyDescent="0.2">
      <c r="A189" s="143" t="s">
        <v>503</v>
      </c>
      <c r="B189" s="143"/>
      <c r="C189" s="143"/>
      <c r="D189" s="143"/>
      <c r="E189" s="143"/>
      <c r="F189" s="143"/>
      <c r="G189" s="143"/>
      <c r="H189" s="143"/>
      <c r="I189" s="143"/>
      <c r="J189" s="143"/>
      <c r="K189" s="143"/>
      <c r="L189" s="143"/>
      <c r="M189" s="143"/>
      <c r="N189" s="143"/>
      <c r="O189" s="143"/>
      <c r="P189" s="143"/>
      <c r="Q189" s="143"/>
      <c r="T189" s="18"/>
    </row>
    <row r="190" spans="1:20" s="31" customFormat="1" ht="21.75" customHeight="1" x14ac:dyDescent="0.2">
      <c r="A190" s="143"/>
      <c r="B190" s="143"/>
      <c r="C190" s="143"/>
      <c r="D190" s="143"/>
      <c r="E190" s="143"/>
      <c r="F190" s="143"/>
      <c r="G190" s="143"/>
      <c r="H190" s="143"/>
      <c r="I190" s="143"/>
      <c r="J190" s="143"/>
      <c r="K190" s="143"/>
      <c r="L190" s="143"/>
      <c r="M190" s="143"/>
      <c r="N190" s="143"/>
      <c r="O190" s="143"/>
      <c r="P190" s="143"/>
      <c r="Q190" s="143"/>
      <c r="T190" s="32"/>
    </row>
  </sheetData>
  <mergeCells count="30">
    <mergeCell ref="A189:Q19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VNMR-59</cp:lastModifiedBy>
  <cp:lastPrinted>2020-02-24T06:15:22Z</cp:lastPrinted>
  <dcterms:created xsi:type="dcterms:W3CDTF">2002-10-09T16:25:59Z</dcterms:created>
  <dcterms:modified xsi:type="dcterms:W3CDTF">2020-02-26T14:57:24Z</dcterms:modified>
</cp:coreProperties>
</file>